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sociacaopaisemrede-my.sharepoint.com/personal/oficinasdepais_paisemrede_pt/Documents/Ambiente de Trabalho/"/>
    </mc:Choice>
  </mc:AlternateContent>
  <xr:revisionPtr revIDLastSave="0" documentId="8_{D48FA9E8-0F0F-40B7-B35E-D11EAF54A65D}" xr6:coauthVersionLast="47" xr6:coauthVersionMax="47" xr10:uidLastSave="{00000000-0000-0000-0000-000000000000}"/>
  <bookViews>
    <workbookView xWindow="-108" yWindow="-108" windowWidth="30936" windowHeight="16776" xr2:uid="{8FC9D1CC-E8BF-4A7F-B568-E41986549651}"/>
  </bookViews>
  <sheets>
    <sheet name="a enviar" sheetId="3" r:id="rId1"/>
    <sheet name="Trabalhado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3" l="1"/>
  <c r="G65" i="3"/>
  <c r="G63" i="3"/>
  <c r="D8" i="3"/>
  <c r="C8" i="3"/>
  <c r="G62" i="3"/>
  <c r="F61" i="3"/>
  <c r="F44" i="3" s="1"/>
  <c r="E61" i="3"/>
  <c r="E44" i="3" s="1"/>
  <c r="D61" i="3"/>
  <c r="D44" i="3" s="1"/>
  <c r="C61" i="3"/>
  <c r="G61" i="3" s="1"/>
  <c r="G55" i="3"/>
  <c r="G54" i="3"/>
  <c r="G53" i="3"/>
  <c r="G51" i="3"/>
  <c r="G50" i="3"/>
  <c r="G49" i="3"/>
  <c r="C45" i="3"/>
  <c r="G47" i="3"/>
  <c r="G46" i="3"/>
  <c r="F45" i="3"/>
  <c r="E45" i="3"/>
  <c r="D45" i="3"/>
  <c r="G43" i="3"/>
  <c r="G42" i="3"/>
  <c r="G41" i="3"/>
  <c r="F34" i="3"/>
  <c r="E34" i="3"/>
  <c r="G40" i="3"/>
  <c r="G39" i="3"/>
  <c r="G38" i="3"/>
  <c r="G37" i="3"/>
  <c r="G36" i="3"/>
  <c r="G35" i="3"/>
  <c r="G32" i="3"/>
  <c r="G26" i="3"/>
  <c r="G25" i="3"/>
  <c r="G24" i="3"/>
  <c r="G23" i="3"/>
  <c r="G21" i="3"/>
  <c r="G20" i="3"/>
  <c r="G19" i="3"/>
  <c r="G18" i="3"/>
  <c r="G17" i="3"/>
  <c r="G16" i="3"/>
  <c r="C14" i="3"/>
  <c r="F14" i="3"/>
  <c r="E14" i="3"/>
  <c r="D14" i="3"/>
  <c r="G13" i="3"/>
  <c r="G10" i="3"/>
  <c r="F8" i="3"/>
  <c r="E8" i="3"/>
  <c r="G7" i="3"/>
  <c r="F6" i="3"/>
  <c r="E6" i="3"/>
  <c r="D6" i="3"/>
  <c r="C6" i="3"/>
  <c r="G6" i="3" s="1"/>
  <c r="G5" i="3"/>
  <c r="K84" i="1"/>
  <c r="J84" i="1"/>
  <c r="F64" i="1"/>
  <c r="D84" i="1"/>
  <c r="E84" i="1"/>
  <c r="F84" i="1"/>
  <c r="C84" i="1"/>
  <c r="G88" i="1"/>
  <c r="D87" i="1"/>
  <c r="E87" i="1"/>
  <c r="F87" i="1"/>
  <c r="G87" i="1" s="1"/>
  <c r="D88" i="1"/>
  <c r="E88" i="1"/>
  <c r="F88" i="1"/>
  <c r="C88" i="1"/>
  <c r="C87" i="1"/>
  <c r="G80" i="1"/>
  <c r="G79" i="1"/>
  <c r="G78" i="1"/>
  <c r="G77" i="1"/>
  <c r="G76" i="1"/>
  <c r="D77" i="1"/>
  <c r="E77" i="1"/>
  <c r="F77" i="1"/>
  <c r="D78" i="1"/>
  <c r="E78" i="1"/>
  <c r="F78" i="1"/>
  <c r="D79" i="1"/>
  <c r="E79" i="1"/>
  <c r="F79" i="1"/>
  <c r="D80" i="1"/>
  <c r="E80" i="1"/>
  <c r="F80" i="1"/>
  <c r="G86" i="1"/>
  <c r="D86" i="1"/>
  <c r="E86" i="1"/>
  <c r="F86" i="1"/>
  <c r="C86" i="1"/>
  <c r="D76" i="1"/>
  <c r="E76" i="1"/>
  <c r="F76" i="1"/>
  <c r="C80" i="1"/>
  <c r="C79" i="1"/>
  <c r="C78" i="1"/>
  <c r="C77" i="1"/>
  <c r="D63" i="1"/>
  <c r="D8" i="1" s="1"/>
  <c r="E63" i="1"/>
  <c r="E8" i="1" s="1"/>
  <c r="F63" i="1"/>
  <c r="F8" i="1" s="1"/>
  <c r="C63" i="1"/>
  <c r="C8" i="1" s="1"/>
  <c r="N63" i="1"/>
  <c r="O63" i="1" s="1"/>
  <c r="D64" i="1"/>
  <c r="E64" i="1"/>
  <c r="C64" i="1"/>
  <c r="D66" i="1"/>
  <c r="E66" i="1"/>
  <c r="F66" i="1"/>
  <c r="C66" i="1"/>
  <c r="O46" i="1"/>
  <c r="D6" i="1"/>
  <c r="E6" i="1"/>
  <c r="F6" i="1"/>
  <c r="F9" i="1" s="1"/>
  <c r="C6" i="1"/>
  <c r="D62" i="1"/>
  <c r="E62" i="1"/>
  <c r="F62" i="1"/>
  <c r="C62" i="1"/>
  <c r="P23" i="1"/>
  <c r="X23" i="1" s="1"/>
  <c r="F35" i="1"/>
  <c r="E35" i="1"/>
  <c r="D35" i="1"/>
  <c r="C35" i="1"/>
  <c r="D12" i="1"/>
  <c r="F33" i="3" l="1"/>
  <c r="G14" i="3"/>
  <c r="E33" i="3"/>
  <c r="G8" i="3"/>
  <c r="D4" i="3"/>
  <c r="D28" i="3" s="1"/>
  <c r="G45" i="3"/>
  <c r="D34" i="3"/>
  <c r="D33" i="3" s="1"/>
  <c r="D30" i="3" s="1"/>
  <c r="D57" i="3" s="1"/>
  <c r="G64" i="3"/>
  <c r="C44" i="3"/>
  <c r="G44" i="3" s="1"/>
  <c r="G48" i="3"/>
  <c r="G12" i="3"/>
  <c r="C34" i="3"/>
  <c r="G15" i="3"/>
  <c r="G84" i="1"/>
  <c r="E9" i="1"/>
  <c r="C9" i="1"/>
  <c r="C76" i="1" s="1"/>
  <c r="G8" i="1"/>
  <c r="D9" i="1"/>
  <c r="D58" i="3" l="1"/>
  <c r="C33" i="3"/>
  <c r="G34" i="3"/>
  <c r="G9" i="3"/>
  <c r="C4" i="3"/>
  <c r="E4" i="3"/>
  <c r="E28" i="3" s="1"/>
  <c r="G11" i="3"/>
  <c r="C4" i="1"/>
  <c r="C28" i="3" l="1"/>
  <c r="E30" i="3"/>
  <c r="E57" i="3" s="1"/>
  <c r="E58" i="3" s="1"/>
  <c r="F4" i="3"/>
  <c r="F28" i="3" s="1"/>
  <c r="G33" i="3"/>
  <c r="C30" i="3"/>
  <c r="C57" i="3" l="1"/>
  <c r="C58" i="3" s="1"/>
  <c r="F30" i="3"/>
  <c r="F57" i="3" s="1"/>
  <c r="F58" i="3" s="1"/>
  <c r="G31" i="3"/>
  <c r="G28" i="3"/>
  <c r="G4" i="3"/>
  <c r="G30" i="3" l="1"/>
  <c r="G57" i="3"/>
  <c r="G58" i="3" s="1"/>
  <c r="F32" i="1" l="1"/>
  <c r="E32" i="1"/>
  <c r="D32" i="1"/>
  <c r="C32" i="1"/>
  <c r="E53" i="1" l="1"/>
  <c r="D53" i="1"/>
  <c r="C53" i="1"/>
  <c r="E24" i="1"/>
  <c r="D24" i="1"/>
  <c r="C24" i="1"/>
  <c r="E54" i="1"/>
  <c r="D54" i="1"/>
  <c r="E26" i="1"/>
  <c r="D26" i="1"/>
  <c r="C26" i="1"/>
  <c r="F48" i="1"/>
  <c r="E48" i="1"/>
  <c r="D48" i="1"/>
  <c r="C48" i="1"/>
  <c r="G17" i="1"/>
  <c r="G6" i="1"/>
  <c r="G7" i="1"/>
  <c r="G9" i="1"/>
  <c r="G47" i="1"/>
  <c r="G65" i="1" l="1"/>
  <c r="G64" i="1"/>
  <c r="G63" i="1"/>
  <c r="E61" i="1"/>
  <c r="E44" i="1" s="1"/>
  <c r="C61" i="1"/>
  <c r="C44" i="1" s="1"/>
  <c r="G55" i="1"/>
  <c r="G54" i="1"/>
  <c r="E45" i="1"/>
  <c r="E85" i="1" s="1"/>
  <c r="E89" i="1" s="1"/>
  <c r="G51" i="1"/>
  <c r="G50" i="1"/>
  <c r="G49" i="1"/>
  <c r="G46" i="1"/>
  <c r="Q46" i="1" s="1"/>
  <c r="G43" i="1"/>
  <c r="G41" i="1"/>
  <c r="F40" i="1"/>
  <c r="E40" i="1"/>
  <c r="D40" i="1"/>
  <c r="C40" i="1"/>
  <c r="G39" i="1"/>
  <c r="G38" i="1"/>
  <c r="G37" i="1"/>
  <c r="G36" i="1"/>
  <c r="G35" i="1"/>
  <c r="C31" i="1"/>
  <c r="G25" i="1"/>
  <c r="G21" i="1"/>
  <c r="G20" i="1"/>
  <c r="G19" i="1"/>
  <c r="G18" i="1"/>
  <c r="G16" i="1"/>
  <c r="F15" i="1"/>
  <c r="E15" i="1"/>
  <c r="E14" i="1" s="1"/>
  <c r="E81" i="1" s="1"/>
  <c r="E82" i="1" s="1"/>
  <c r="D15" i="1"/>
  <c r="C15" i="1"/>
  <c r="G13" i="1"/>
  <c r="G12" i="1"/>
  <c r="D11" i="1"/>
  <c r="D4" i="1" s="1"/>
  <c r="G10" i="1"/>
  <c r="G5" i="1"/>
  <c r="E91" i="1" l="1"/>
  <c r="D31" i="1"/>
  <c r="F14" i="1"/>
  <c r="F81" i="1" s="1"/>
  <c r="G23" i="1"/>
  <c r="D34" i="1"/>
  <c r="C14" i="1"/>
  <c r="C81" i="1" s="1"/>
  <c r="C82" i="1" s="1"/>
  <c r="D61" i="1"/>
  <c r="D44" i="1" s="1"/>
  <c r="G48" i="1"/>
  <c r="E34" i="1"/>
  <c r="E33" i="1" s="1"/>
  <c r="F34" i="1"/>
  <c r="C45" i="1"/>
  <c r="C85" i="1" s="1"/>
  <c r="C89" i="1" s="1"/>
  <c r="G24" i="1"/>
  <c r="G40" i="1"/>
  <c r="G62" i="1"/>
  <c r="F45" i="1"/>
  <c r="F85" i="1" s="1"/>
  <c r="G26" i="1"/>
  <c r="G42" i="1"/>
  <c r="G66" i="1"/>
  <c r="D45" i="1"/>
  <c r="D85" i="1" s="1"/>
  <c r="D89" i="1" s="1"/>
  <c r="D14" i="1"/>
  <c r="G53" i="1"/>
  <c r="G32" i="1"/>
  <c r="G15" i="1"/>
  <c r="F61" i="1"/>
  <c r="F44" i="1" s="1"/>
  <c r="E11" i="1"/>
  <c r="E4" i="1" s="1"/>
  <c r="C34" i="1"/>
  <c r="C91" i="1" l="1"/>
  <c r="F82" i="1"/>
  <c r="D28" i="1"/>
  <c r="D81" i="1"/>
  <c r="D82" i="1" s="1"/>
  <c r="D83" i="1" s="1"/>
  <c r="G85" i="1"/>
  <c r="G89" i="1" s="1"/>
  <c r="F89" i="1"/>
  <c r="F91" i="1" s="1"/>
  <c r="G44" i="1"/>
  <c r="G14" i="1"/>
  <c r="G45" i="1"/>
  <c r="C28" i="1"/>
  <c r="C83" i="1" s="1"/>
  <c r="D33" i="1"/>
  <c r="D30" i="1" s="1"/>
  <c r="D57" i="1" s="1"/>
  <c r="D58" i="1" s="1"/>
  <c r="F33" i="1"/>
  <c r="G61" i="1"/>
  <c r="C33" i="1"/>
  <c r="G34" i="1"/>
  <c r="E31" i="1"/>
  <c r="F11" i="1"/>
  <c r="F4" i="1" s="1"/>
  <c r="D91" i="1" l="1"/>
  <c r="D92" i="1" s="1"/>
  <c r="G81" i="1"/>
  <c r="G82" i="1" s="1"/>
  <c r="G11" i="1"/>
  <c r="F28" i="1"/>
  <c r="F83" i="1" s="1"/>
  <c r="F31" i="1"/>
  <c r="F30" i="1" s="1"/>
  <c r="F57" i="1" s="1"/>
  <c r="G4" i="1"/>
  <c r="E28" i="1"/>
  <c r="E83" i="1" s="1"/>
  <c r="E30" i="1"/>
  <c r="E57" i="1" s="1"/>
  <c r="G31" i="1"/>
  <c r="G33" i="1"/>
  <c r="C30" i="1"/>
  <c r="G83" i="1" l="1"/>
  <c r="G91" i="1"/>
  <c r="G30" i="1"/>
  <c r="C57" i="1"/>
  <c r="E58" i="1"/>
  <c r="E92" i="1" s="1"/>
  <c r="G28" i="1"/>
  <c r="F58" i="1"/>
  <c r="F92" i="1" s="1"/>
  <c r="G57" i="1" l="1"/>
  <c r="G58" i="1" s="1"/>
  <c r="G92" i="1" s="1"/>
  <c r="C58" i="1"/>
  <c r="C92" i="1" s="1"/>
</calcChain>
</file>

<file path=xl/sharedStrings.xml><?xml version="1.0" encoding="utf-8"?>
<sst xmlns="http://schemas.openxmlformats.org/spreadsheetml/2006/main" count="170" uniqueCount="93">
  <si>
    <r>
      <rPr>
        <sz val="11"/>
        <rFont val="Calibri"/>
        <family val="2"/>
      </rPr>
      <t>1º Trim</t>
    </r>
  </si>
  <si>
    <r>
      <rPr>
        <sz val="11"/>
        <rFont val="Calibri"/>
        <family val="2"/>
      </rPr>
      <t>2º Trim</t>
    </r>
  </si>
  <si>
    <r>
      <rPr>
        <sz val="11"/>
        <rFont val="Calibri"/>
        <family val="2"/>
      </rPr>
      <t>3º Trim</t>
    </r>
  </si>
  <si>
    <r>
      <rPr>
        <sz val="11"/>
        <rFont val="Calibri"/>
        <family val="2"/>
      </rPr>
      <t>4º Trim</t>
    </r>
  </si>
  <si>
    <r>
      <rPr>
        <b/>
        <sz val="11"/>
        <rFont val="Calibri"/>
        <family val="2"/>
      </rPr>
      <t>Total</t>
    </r>
  </si>
  <si>
    <t>Receitas Próprias</t>
  </si>
  <si>
    <t>Donativos</t>
  </si>
  <si>
    <t>Quotizações</t>
  </si>
  <si>
    <t>Vendas de Livros</t>
  </si>
  <si>
    <t>Consignação IRS</t>
  </si>
  <si>
    <t>Financiam. projectos</t>
  </si>
  <si>
    <t>Formação para a Vida Adulta (Aveiro) - Núcleo (Donativos)</t>
  </si>
  <si>
    <t>TOTAL RECEITAS</t>
  </si>
  <si>
    <t>Despesas de Estrutura</t>
  </si>
  <si>
    <t>Custo de livros vendidos</t>
  </si>
  <si>
    <t>Depreciações do exercício</t>
  </si>
  <si>
    <t>Custos de Funcionamento</t>
  </si>
  <si>
    <t xml:space="preserve">3.1 - Recursos Humanos </t>
  </si>
  <si>
    <t>3.2 - Deslocações</t>
  </si>
  <si>
    <t>3.3.1 -  Água</t>
  </si>
  <si>
    <t>3.3.2 - Eletricidade</t>
  </si>
  <si>
    <t>3.3.3 - Comunicações</t>
  </si>
  <si>
    <t>3.3.4 - Rendas</t>
  </si>
  <si>
    <t>3.3.5 - Serviços de Contabilidade</t>
  </si>
  <si>
    <t>3.4 - Consumíveis Escritório e Informática</t>
  </si>
  <si>
    <t>Despesas com Projectos</t>
  </si>
  <si>
    <t>TOTAL DESPESAS</t>
  </si>
  <si>
    <t>RESULTADO</t>
  </si>
  <si>
    <t>Parte de salários não comparticipados pelo INR</t>
  </si>
  <si>
    <t>Rendas</t>
  </si>
  <si>
    <t>Seguros</t>
  </si>
  <si>
    <t>Despesas diversas</t>
  </si>
  <si>
    <t>2015 em 2024</t>
  </si>
  <si>
    <t>3661 até set 2025</t>
  </si>
  <si>
    <t>coloco 4000</t>
  </si>
  <si>
    <t>1989 até set 2025</t>
  </si>
  <si>
    <t>8504 em 2024</t>
  </si>
  <si>
    <t>coloco 3000</t>
  </si>
  <si>
    <t>19832 em 2025</t>
  </si>
  <si>
    <t>em 2026 a % duplica. Coloco 25000 por prudência</t>
  </si>
  <si>
    <t>ORÇAMENTO  2026</t>
  </si>
  <si>
    <t>Contratos Locais de Desenvolvimento Social 5G (Grândola)</t>
  </si>
  <si>
    <t>65902,089 valor majorado com mais 10% face ao ano anterior</t>
  </si>
  <si>
    <t>Apoio ao Funcionamento (Apoio Funcionamento INR 2026)</t>
  </si>
  <si>
    <t>orçamento liliana</t>
  </si>
  <si>
    <t>EXPLICADO NA FOLHA DOS PROJETOS</t>
  </si>
  <si>
    <t>SAVI (*)</t>
  </si>
  <si>
    <t>BPI Capacitar 2025, (Im)porta 8A (Aveiro) (*)</t>
  </si>
  <si>
    <t>Iniciativa Social Descentralizada BPI, Site Pais em Rede (Sede) (*)</t>
  </si>
  <si>
    <t>Férias é na PER (Beira Dão) - Núcleo (Donativos)</t>
  </si>
  <si>
    <t>Inclui-me nesse campo de férias (Aveiro) - INR (Valor solicitado 80%) (*)</t>
  </si>
  <si>
    <t>Férias é na PER (Beira Dão) - INR (valor solicitado 80%) (*)</t>
  </si>
  <si>
    <t>Inclui-me nesse campo de férias (Aveiro) (*)</t>
  </si>
  <si>
    <t>Projetos INR 2026</t>
  </si>
  <si>
    <t>(*) Candidaturas ainda não aprovadas e no caso do SAVI, projeto de financiamento termina em abril, mas está prevista a sua continuação nos mesmos moldes</t>
  </si>
  <si>
    <t>ver salários não comparticipados , inr e projetos.</t>
  </si>
  <si>
    <t>908,56 previstos para 2025, o mesmo para 2026</t>
  </si>
  <si>
    <t>Custos de Funcionamento (Apoio ao Funcionamento - INR, IP) (*)</t>
  </si>
  <si>
    <t>destes são cp da soraia, tendo em conta o histórico</t>
  </si>
  <si>
    <t>inclui 8509€  de cp</t>
  </si>
  <si>
    <t>total de salários previstos</t>
  </si>
  <si>
    <t>valor a sustentar por donativos</t>
  </si>
  <si>
    <t>c0nsiderado 86 m€ de salários da sede deduzindo o valor da candidatura ao inr 62 057€ + cp de aveiro suportados pelo nucleo explicado na lina 22, são 48491</t>
  </si>
  <si>
    <t>Donativos de Aveiro que suportam salários</t>
  </si>
  <si>
    <t>239 m até abril, projetado para a frente</t>
  </si>
  <si>
    <t>valor não cp até set, extrapolando fica:</t>
  </si>
  <si>
    <t>cp</t>
  </si>
  <si>
    <t>coloquei um valor maior para dar cobertura aos custos dos nucleos</t>
  </si>
  <si>
    <t>historico</t>
  </si>
  <si>
    <t>618 em 2o25, foi acrescentado 5%</t>
  </si>
  <si>
    <t>Donativos sede</t>
  </si>
  <si>
    <t>Donativos aveiro e grandola para sportar as despesas deviersa</t>
  </si>
  <si>
    <t>Custos com pessoal</t>
  </si>
  <si>
    <t>Despesas com projetos sem custos com pessoal</t>
  </si>
  <si>
    <t xml:space="preserve">aveiro: 784,27 , grandola 715,12.  </t>
  </si>
  <si>
    <t>Donativos rendas de aveiro e Grândola</t>
  </si>
  <si>
    <t>Outros custos de funcionamento(**)</t>
  </si>
  <si>
    <t>(**) Outros custos de funcionamento</t>
  </si>
  <si>
    <t>Custos com contabilidade Sede</t>
  </si>
  <si>
    <t>Custos com Contabilidade</t>
  </si>
  <si>
    <t>Outros custos</t>
  </si>
  <si>
    <t>Resultados</t>
  </si>
  <si>
    <t>sede</t>
  </si>
  <si>
    <t>dif explica-se pelo CAVI</t>
  </si>
  <si>
    <t>Rendas Sede Aveiro e Grândola</t>
  </si>
  <si>
    <t>Inclui-me nesse campo de férias (Aveiro) - Núcleo (Donativos)</t>
  </si>
  <si>
    <r>
      <t xml:space="preserve">BPI Capacitar 2025, (Im)porta 8A (Aveiro) - </t>
    </r>
    <r>
      <rPr>
        <b/>
        <sz val="10"/>
        <color rgb="FFFF0000"/>
        <rFont val="Times New Roman"/>
        <family val="1"/>
      </rPr>
      <t>Donativos</t>
    </r>
    <r>
      <rPr>
        <sz val="10"/>
        <color rgb="FFFF0000"/>
        <rFont val="Times New Roman"/>
        <family val="1"/>
      </rPr>
      <t xml:space="preserve"> Aveiro</t>
    </r>
  </si>
  <si>
    <t>1º Trim</t>
  </si>
  <si>
    <t>2º Trim</t>
  </si>
  <si>
    <t>3º Trim</t>
  </si>
  <si>
    <t>4º Trim</t>
  </si>
  <si>
    <t>Total</t>
  </si>
  <si>
    <r>
      <t xml:space="preserve">BPI Capacitar 2025, (Im)porta 8A (Aveiro) - </t>
    </r>
    <r>
      <rPr>
        <b/>
        <sz val="12"/>
        <color rgb="FFFF0000"/>
        <rFont val="Times New Roman"/>
        <family val="1"/>
      </rPr>
      <t>Donativos</t>
    </r>
    <r>
      <rPr>
        <sz val="12"/>
        <color rgb="FFFF0000"/>
        <rFont val="Times New Roman"/>
        <family val="1"/>
      </rPr>
      <t xml:space="preserve"> Aveiro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</si>
</sst>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7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9"/>
      <color rgb="FF000000"/>
      <name val="Arial"/>
      <family val="2"/>
    </font>
    <font>
      <sz val="10"/>
      <color rgb="FF000000"/>
      <name val="Calibri"/>
      <family val="2"/>
    </font>
    <font>
      <sz val="8"/>
      <color rgb="FF00000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20"/>
      <name val="Calibri"/>
      <family val="2"/>
    </font>
    <font>
      <sz val="12"/>
      <color rgb="FF000000"/>
      <name val="Times New Roman"/>
      <family val="1"/>
    </font>
    <font>
      <sz val="12"/>
      <name val="Calibri"/>
      <family val="2"/>
    </font>
    <font>
      <b/>
      <sz val="12"/>
      <name val="Calibri"/>
      <family val="2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1" fillId="0" borderId="0" xfId="1" applyAlignment="1">
      <alignment horizontal="left" vertical="top"/>
    </xf>
    <xf numFmtId="0" fontId="1" fillId="0" borderId="4" xfId="1" applyBorder="1" applyAlignment="1">
      <alignment horizontal="left" wrapText="1"/>
    </xf>
    <xf numFmtId="0" fontId="3" fillId="0" borderId="5" xfId="1" applyFont="1" applyBorder="1" applyAlignment="1">
      <alignment horizontal="right" vertical="top" wrapText="1" indent="1"/>
    </xf>
    <xf numFmtId="0" fontId="4" fillId="0" borderId="4" xfId="1" applyFont="1" applyBorder="1" applyAlignment="1">
      <alignment horizontal="right" vertical="top" wrapText="1" indent="2"/>
    </xf>
    <xf numFmtId="0" fontId="1" fillId="0" borderId="6" xfId="1" applyBorder="1" applyAlignment="1">
      <alignment horizontal="left" wrapText="1"/>
    </xf>
    <xf numFmtId="0" fontId="3" fillId="0" borderId="7" xfId="1" applyFont="1" applyBorder="1" applyAlignment="1">
      <alignment horizontal="left" vertical="top" wrapText="1" indent="1"/>
    </xf>
    <xf numFmtId="4" fontId="3" fillId="0" borderId="7" xfId="1" applyNumberFormat="1" applyFont="1" applyBorder="1" applyAlignment="1">
      <alignment horizontal="left" vertical="top" wrapText="1" indent="1"/>
    </xf>
    <xf numFmtId="0" fontId="4" fillId="0" borderId="6" xfId="1" applyFont="1" applyBorder="1" applyAlignment="1">
      <alignment horizontal="left" vertical="top" wrapText="1" indent="2"/>
    </xf>
    <xf numFmtId="0" fontId="5" fillId="0" borderId="8" xfId="1" applyFont="1" applyBorder="1" applyAlignment="1">
      <alignment horizontal="left" vertical="center"/>
    </xf>
    <xf numFmtId="4" fontId="6" fillId="0" borderId="9" xfId="1" applyNumberFormat="1" applyFont="1" applyBorder="1" applyAlignment="1">
      <alignment horizontal="right" vertical="center" wrapText="1"/>
    </xf>
    <xf numFmtId="4" fontId="6" fillId="0" borderId="8" xfId="1" applyNumberFormat="1" applyFont="1" applyBorder="1" applyAlignment="1">
      <alignment horizontal="right" vertical="center" shrinkToFit="1"/>
    </xf>
    <xf numFmtId="0" fontId="7" fillId="0" borderId="10" xfId="1" applyFont="1" applyBorder="1" applyAlignment="1">
      <alignment horizontal="left" vertical="center" wrapText="1"/>
    </xf>
    <xf numFmtId="4" fontId="7" fillId="0" borderId="0" xfId="1" applyNumberFormat="1" applyFont="1" applyAlignment="1">
      <alignment horizontal="right" vertical="center" shrinkToFit="1"/>
    </xf>
    <xf numFmtId="4" fontId="5" fillId="0" borderId="10" xfId="1" applyNumberFormat="1" applyFont="1" applyBorder="1" applyAlignment="1">
      <alignment horizontal="right" vertical="center" shrinkToFit="1"/>
    </xf>
    <xf numFmtId="0" fontId="8" fillId="0" borderId="8" xfId="1" applyFont="1" applyBorder="1" applyAlignment="1">
      <alignment horizontal="left" vertical="center" wrapText="1"/>
    </xf>
    <xf numFmtId="4" fontId="8" fillId="0" borderId="9" xfId="1" applyNumberFormat="1" applyFont="1" applyBorder="1" applyAlignment="1">
      <alignment horizontal="right" vertical="center" shrinkToFit="1"/>
    </xf>
    <xf numFmtId="4" fontId="8" fillId="0" borderId="8" xfId="1" applyNumberFormat="1" applyFont="1" applyBorder="1" applyAlignment="1">
      <alignment horizontal="right" vertical="center" shrinkToFit="1"/>
    </xf>
    <xf numFmtId="0" fontId="11" fillId="2" borderId="8" xfId="1" applyFont="1" applyFill="1" applyBorder="1" applyAlignment="1">
      <alignment horizontal="center" vertical="center" wrapText="1"/>
    </xf>
    <xf numFmtId="4" fontId="11" fillId="2" borderId="9" xfId="1" applyNumberFormat="1" applyFont="1" applyFill="1" applyBorder="1" applyAlignment="1">
      <alignment horizontal="right" vertical="center" shrinkToFit="1"/>
    </xf>
    <xf numFmtId="4" fontId="11" fillId="2" borderId="8" xfId="1" applyNumberFormat="1" applyFont="1" applyFill="1" applyBorder="1" applyAlignment="1">
      <alignment horizontal="right" vertical="center" shrinkToFit="1"/>
    </xf>
    <xf numFmtId="0" fontId="7" fillId="0" borderId="0" xfId="1" applyFont="1" applyAlignment="1">
      <alignment horizontal="left" vertical="top"/>
    </xf>
    <xf numFmtId="0" fontId="5" fillId="0" borderId="8" xfId="1" applyFont="1" applyBorder="1" applyAlignment="1">
      <alignment horizontal="center" vertical="center"/>
    </xf>
    <xf numFmtId="44" fontId="5" fillId="0" borderId="9" xfId="1" applyNumberFormat="1" applyFont="1" applyBorder="1" applyAlignment="1">
      <alignment horizontal="left" vertical="top"/>
    </xf>
    <xf numFmtId="44" fontId="5" fillId="0" borderId="11" xfId="1" applyNumberFormat="1" applyFont="1" applyBorder="1" applyAlignment="1">
      <alignment horizontal="left" vertical="top"/>
    </xf>
    <xf numFmtId="4" fontId="1" fillId="0" borderId="0" xfId="1" applyNumberFormat="1" applyAlignment="1">
      <alignment horizontal="left" vertical="top"/>
    </xf>
    <xf numFmtId="2" fontId="1" fillId="0" borderId="0" xfId="1" applyNumberFormat="1" applyAlignment="1">
      <alignment horizontal="left" vertical="top"/>
    </xf>
    <xf numFmtId="0" fontId="13" fillId="0" borderId="0" xfId="1" applyFont="1" applyAlignment="1">
      <alignment horizontal="left" vertical="top"/>
    </xf>
    <xf numFmtId="0" fontId="14" fillId="0" borderId="0" xfId="1" applyFont="1" applyAlignment="1">
      <alignment horizontal="justify" vertical="center"/>
    </xf>
    <xf numFmtId="3" fontId="1" fillId="0" borderId="0" xfId="1" applyNumberFormat="1" applyAlignment="1">
      <alignment horizontal="left" vertical="top"/>
    </xf>
    <xf numFmtId="0" fontId="7" fillId="3" borderId="10" xfId="1" applyFont="1" applyFill="1" applyBorder="1" applyAlignment="1">
      <alignment horizontal="left" vertical="center"/>
    </xf>
    <xf numFmtId="44" fontId="12" fillId="3" borderId="0" xfId="1" applyNumberFormat="1" applyFont="1" applyFill="1" applyAlignment="1">
      <alignment horizontal="left" vertical="center"/>
    </xf>
    <xf numFmtId="44" fontId="7" fillId="3" borderId="12" xfId="1" applyNumberFormat="1" applyFont="1" applyFill="1" applyBorder="1" applyAlignment="1">
      <alignment horizontal="left" vertical="center"/>
    </xf>
    <xf numFmtId="0" fontId="7" fillId="3" borderId="6" xfId="1" applyFont="1" applyFill="1" applyBorder="1" applyAlignment="1">
      <alignment horizontal="left" vertical="center"/>
    </xf>
    <xf numFmtId="44" fontId="12" fillId="3" borderId="7" xfId="1" applyNumberFormat="1" applyFont="1" applyFill="1" applyBorder="1" applyAlignment="1">
      <alignment horizontal="left" vertical="center"/>
    </xf>
    <xf numFmtId="44" fontId="7" fillId="3" borderId="13" xfId="1" applyNumberFormat="1" applyFont="1" applyFill="1" applyBorder="1" applyAlignment="1">
      <alignment horizontal="left" vertical="center"/>
    </xf>
    <xf numFmtId="4" fontId="11" fillId="0" borderId="0" xfId="1" applyNumberFormat="1" applyFont="1" applyAlignment="1">
      <alignment horizontal="right" vertical="center" shrinkToFit="1"/>
    </xf>
    <xf numFmtId="4" fontId="1" fillId="0" borderId="0" xfId="1" applyNumberFormat="1" applyAlignment="1">
      <alignment horizontal="right" vertical="top"/>
    </xf>
    <xf numFmtId="4" fontId="6" fillId="0" borderId="0" xfId="1" applyNumberFormat="1" applyFont="1" applyAlignment="1">
      <alignment horizontal="right" vertical="top"/>
    </xf>
    <xf numFmtId="0" fontId="6" fillId="0" borderId="0" xfId="1" applyFont="1" applyAlignment="1">
      <alignment horizontal="left" vertical="top"/>
    </xf>
    <xf numFmtId="4" fontId="15" fillId="0" borderId="0" xfId="1" applyNumberFormat="1" applyFont="1" applyAlignment="1">
      <alignment horizontal="right" vertical="top"/>
    </xf>
    <xf numFmtId="2" fontId="7" fillId="0" borderId="0" xfId="1" applyNumberFormat="1" applyFont="1" applyAlignment="1">
      <alignment horizontal="right" vertical="center" shrinkToFit="1"/>
    </xf>
    <xf numFmtId="0" fontId="5" fillId="0" borderId="8" xfId="1" applyFont="1" applyBorder="1" applyAlignment="1">
      <alignment vertical="center" wrapText="1"/>
    </xf>
    <xf numFmtId="4" fontId="5" fillId="0" borderId="9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right" vertical="center" shrinkToFit="1"/>
    </xf>
    <xf numFmtId="0" fontId="7" fillId="0" borderId="0" xfId="1" applyFont="1" applyAlignment="1">
      <alignment horizontal="left" vertical="center" wrapText="1"/>
    </xf>
    <xf numFmtId="0" fontId="5" fillId="0" borderId="10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4" fontId="7" fillId="0" borderId="7" xfId="1" applyNumberFormat="1" applyFont="1" applyBorder="1" applyAlignment="1">
      <alignment horizontal="right" vertical="center" shrinkToFit="1"/>
    </xf>
    <xf numFmtId="4" fontId="5" fillId="0" borderId="6" xfId="1" applyNumberFormat="1" applyFont="1" applyBorder="1" applyAlignment="1">
      <alignment horizontal="right" vertical="center" shrinkToFit="1"/>
    </xf>
    <xf numFmtId="0" fontId="8" fillId="0" borderId="10" xfId="1" applyFont="1" applyBorder="1" applyAlignment="1">
      <alignment horizontal="left" vertical="center" wrapText="1"/>
    </xf>
    <xf numFmtId="4" fontId="8" fillId="0" borderId="0" xfId="1" applyNumberFormat="1" applyFont="1" applyAlignment="1">
      <alignment horizontal="right" vertical="center" shrinkToFit="1"/>
    </xf>
    <xf numFmtId="4" fontId="8" fillId="0" borderId="10" xfId="1" applyNumberFormat="1" applyFont="1" applyBorder="1" applyAlignment="1">
      <alignment horizontal="right" vertical="center" shrinkToFit="1"/>
    </xf>
    <xf numFmtId="0" fontId="5" fillId="0" borderId="10" xfId="1" applyFont="1" applyBorder="1" applyAlignment="1">
      <alignment horizontal="left" vertical="center" wrapText="1"/>
    </xf>
    <xf numFmtId="4" fontId="5" fillId="0" borderId="0" xfId="1" applyNumberFormat="1" applyFont="1" applyAlignment="1">
      <alignment horizontal="right" vertical="center" shrinkToFit="1"/>
    </xf>
    <xf numFmtId="0" fontId="9" fillId="0" borderId="10" xfId="1" applyFont="1" applyBorder="1" applyAlignment="1">
      <alignment horizontal="center" vertical="center" wrapText="1"/>
    </xf>
    <xf numFmtId="4" fontId="9" fillId="0" borderId="0" xfId="1" applyNumberFormat="1" applyFont="1" applyAlignment="1">
      <alignment horizontal="right" vertical="center" shrinkToFit="1"/>
    </xf>
    <xf numFmtId="0" fontId="10" fillId="0" borderId="10" xfId="1" applyFont="1" applyBorder="1" applyAlignment="1">
      <alignment horizontal="left" vertical="center" wrapText="1"/>
    </xf>
    <xf numFmtId="4" fontId="10" fillId="0" borderId="0" xfId="1" applyNumberFormat="1" applyFont="1" applyAlignment="1">
      <alignment horizontal="right" vertical="center" shrinkToFit="1"/>
    </xf>
    <xf numFmtId="4" fontId="9" fillId="0" borderId="10" xfId="1" applyNumberFormat="1" applyFont="1" applyBorder="1" applyAlignment="1">
      <alignment horizontal="right" vertical="center" shrinkToFit="1"/>
    </xf>
    <xf numFmtId="0" fontId="16" fillId="0" borderId="10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" fillId="0" borderId="0" xfId="1" applyAlignment="1">
      <alignment horizontal="left" vertical="top" wrapText="1"/>
    </xf>
    <xf numFmtId="4" fontId="11" fillId="2" borderId="9" xfId="1" applyNumberFormat="1" applyFont="1" applyFill="1" applyBorder="1" applyAlignment="1">
      <alignment horizontal="right" vertical="center" wrapText="1" shrinkToFit="1"/>
    </xf>
    <xf numFmtId="4" fontId="11" fillId="2" borderId="8" xfId="1" applyNumberFormat="1" applyFont="1" applyFill="1" applyBorder="1" applyAlignment="1">
      <alignment horizontal="right" vertical="center" wrapText="1" shrinkToFit="1"/>
    </xf>
    <xf numFmtId="4" fontId="11" fillId="0" borderId="0" xfId="1" applyNumberFormat="1" applyFont="1" applyAlignment="1">
      <alignment horizontal="right" vertical="center" wrapText="1" shrinkToFit="1"/>
    </xf>
    <xf numFmtId="0" fontId="18" fillId="0" borderId="1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left" wrapText="1"/>
    </xf>
    <xf numFmtId="0" fontId="20" fillId="0" borderId="14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left" wrapText="1"/>
    </xf>
    <xf numFmtId="0" fontId="20" fillId="0" borderId="15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20" fillId="0" borderId="1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left" vertical="center" wrapText="1"/>
    </xf>
    <xf numFmtId="4" fontId="22" fillId="0" borderId="9" xfId="1" applyNumberFormat="1" applyFont="1" applyBorder="1" applyAlignment="1">
      <alignment horizontal="right" vertical="center" wrapText="1"/>
    </xf>
    <xf numFmtId="4" fontId="22" fillId="0" borderId="8" xfId="1" applyNumberFormat="1" applyFont="1" applyBorder="1" applyAlignment="1">
      <alignment horizontal="right" vertical="center" wrapText="1" shrinkToFit="1"/>
    </xf>
    <xf numFmtId="0" fontId="23" fillId="0" borderId="10" xfId="1" applyFont="1" applyBorder="1" applyAlignment="1">
      <alignment horizontal="left" vertical="center" wrapText="1"/>
    </xf>
    <xf numFmtId="4" fontId="23" fillId="0" borderId="0" xfId="1" applyNumberFormat="1" applyFont="1" applyAlignment="1">
      <alignment horizontal="right" vertical="center" wrapText="1" shrinkToFit="1"/>
    </xf>
    <xf numFmtId="4" fontId="11" fillId="0" borderId="10" xfId="1" applyNumberFormat="1" applyFont="1" applyBorder="1" applyAlignment="1">
      <alignment horizontal="right" vertical="center" wrapText="1" shrinkToFit="1"/>
    </xf>
    <xf numFmtId="2" fontId="23" fillId="0" borderId="0" xfId="1" applyNumberFormat="1" applyFont="1" applyAlignment="1">
      <alignment horizontal="right" vertical="center" wrapText="1" shrinkToFit="1"/>
    </xf>
    <xf numFmtId="0" fontId="11" fillId="0" borderId="8" xfId="1" applyFont="1" applyBorder="1" applyAlignment="1">
      <alignment vertical="center" wrapText="1"/>
    </xf>
    <xf numFmtId="4" fontId="11" fillId="0" borderId="9" xfId="1" applyNumberFormat="1" applyFont="1" applyBorder="1" applyAlignment="1">
      <alignment horizontal="right" vertical="center" wrapText="1"/>
    </xf>
    <xf numFmtId="4" fontId="11" fillId="0" borderId="8" xfId="1" applyNumberFormat="1" applyFont="1" applyBorder="1" applyAlignment="1">
      <alignment horizontal="right" vertical="center" wrapText="1" shrinkToFit="1"/>
    </xf>
    <xf numFmtId="0" fontId="24" fillId="0" borderId="10" xfId="1" applyFont="1" applyBorder="1" applyAlignment="1">
      <alignment horizontal="left" vertical="center" wrapText="1"/>
    </xf>
    <xf numFmtId="0" fontId="23" fillId="0" borderId="0" xfId="1" applyFont="1" applyAlignment="1">
      <alignment horizontal="left" vertical="center" wrapText="1"/>
    </xf>
    <xf numFmtId="0" fontId="11" fillId="0" borderId="10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left" vertical="center" wrapText="1"/>
    </xf>
    <xf numFmtId="0" fontId="23" fillId="0" borderId="7" xfId="1" applyFont="1" applyBorder="1" applyAlignment="1">
      <alignment horizontal="left" vertical="center" wrapText="1"/>
    </xf>
    <xf numFmtId="4" fontId="23" fillId="0" borderId="7" xfId="1" applyNumberFormat="1" applyFont="1" applyBorder="1" applyAlignment="1">
      <alignment horizontal="right" vertical="center" wrapText="1" shrinkToFit="1"/>
    </xf>
    <xf numFmtId="4" fontId="11" fillId="0" borderId="6" xfId="1" applyNumberFormat="1" applyFont="1" applyBorder="1" applyAlignment="1">
      <alignment horizontal="right" vertical="center" wrapText="1" shrinkToFit="1"/>
    </xf>
    <xf numFmtId="4" fontId="11" fillId="0" borderId="9" xfId="1" applyNumberFormat="1" applyFont="1" applyBorder="1" applyAlignment="1">
      <alignment horizontal="right" vertical="center" wrapText="1" shrinkToFit="1"/>
    </xf>
    <xf numFmtId="0" fontId="11" fillId="0" borderId="10" xfId="1" applyFont="1" applyBorder="1" applyAlignment="1">
      <alignment horizontal="left" vertical="center" wrapText="1"/>
    </xf>
    <xf numFmtId="0" fontId="26" fillId="0" borderId="10" xfId="1" applyFont="1" applyBorder="1" applyAlignment="1">
      <alignment horizontal="left" vertical="center" wrapText="1"/>
    </xf>
    <xf numFmtId="4" fontId="26" fillId="0" borderId="0" xfId="1" applyNumberFormat="1" applyFont="1" applyAlignment="1">
      <alignment horizontal="right" vertical="center" wrapText="1" shrinkToFit="1"/>
    </xf>
    <xf numFmtId="0" fontId="19" fillId="0" borderId="0" xfId="1" applyFont="1" applyAlignment="1">
      <alignment horizontal="left" vertical="top" wrapText="1"/>
    </xf>
    <xf numFmtId="0" fontId="23" fillId="0" borderId="0" xfId="1" applyFont="1" applyAlignment="1">
      <alignment horizontal="left" vertical="top" wrapText="1"/>
    </xf>
    <xf numFmtId="0" fontId="11" fillId="0" borderId="8" xfId="1" applyFont="1" applyBorder="1" applyAlignment="1">
      <alignment horizontal="center" vertical="center" wrapText="1"/>
    </xf>
    <xf numFmtId="44" fontId="11" fillId="0" borderId="9" xfId="1" applyNumberFormat="1" applyFont="1" applyBorder="1" applyAlignment="1">
      <alignment horizontal="center" vertical="center" wrapText="1"/>
    </xf>
    <xf numFmtId="44" fontId="11" fillId="0" borderId="9" xfId="1" applyNumberFormat="1" applyFont="1" applyBorder="1" applyAlignment="1">
      <alignment vertical="center" wrapText="1"/>
    </xf>
    <xf numFmtId="44" fontId="11" fillId="0" borderId="11" xfId="1" applyNumberFormat="1" applyFont="1" applyBorder="1" applyAlignment="1">
      <alignment vertical="center" wrapText="1"/>
    </xf>
    <xf numFmtId="0" fontId="23" fillId="3" borderId="10" xfId="1" applyFont="1" applyFill="1" applyBorder="1" applyAlignment="1">
      <alignment horizontal="left" vertical="center" wrapText="1"/>
    </xf>
    <xf numFmtId="44" fontId="23" fillId="3" borderId="0" xfId="1" applyNumberFormat="1" applyFont="1" applyFill="1" applyAlignment="1">
      <alignment horizontal="left" vertical="center" wrapText="1"/>
    </xf>
    <xf numFmtId="44" fontId="23" fillId="3" borderId="12" xfId="1" applyNumberFormat="1" applyFont="1" applyFill="1" applyBorder="1" applyAlignment="1">
      <alignment horizontal="left" vertical="center" wrapText="1"/>
    </xf>
    <xf numFmtId="0" fontId="23" fillId="3" borderId="6" xfId="1" applyFont="1" applyFill="1" applyBorder="1" applyAlignment="1">
      <alignment horizontal="left" vertical="center" wrapText="1"/>
    </xf>
    <xf numFmtId="44" fontId="23" fillId="3" borderId="7" xfId="1" applyNumberFormat="1" applyFont="1" applyFill="1" applyBorder="1" applyAlignment="1">
      <alignment horizontal="left" vertical="center" wrapText="1"/>
    </xf>
    <xf numFmtId="44" fontId="23" fillId="3" borderId="13" xfId="1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3" xfId="1" xr:uid="{D59BB8FF-3639-4D44-A6C7-4870A7B74E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655669</xdr:colOff>
      <xdr:row>0</xdr:row>
      <xdr:rowOff>43539</xdr:rowOff>
    </xdr:from>
    <xdr:ext cx="2472135" cy="643201"/>
    <xdr:pic>
      <xdr:nvPicPr>
        <xdr:cNvPr id="2" name="image1.jpeg">
          <a:extLst>
            <a:ext uri="{FF2B5EF4-FFF2-40B4-BE49-F238E27FC236}">
              <a16:creationId xmlns:a16="http://schemas.microsoft.com/office/drawing/2014/main" id="{232F8322-8C8F-493C-B349-12FD4249D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928" y="43539"/>
          <a:ext cx="2472135" cy="64320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655670</xdr:colOff>
      <xdr:row>0</xdr:row>
      <xdr:rowOff>43540</xdr:rowOff>
    </xdr:from>
    <xdr:ext cx="1515618" cy="394334"/>
    <xdr:pic>
      <xdr:nvPicPr>
        <xdr:cNvPr id="2" name="image1.jpeg">
          <a:extLst>
            <a:ext uri="{FF2B5EF4-FFF2-40B4-BE49-F238E27FC236}">
              <a16:creationId xmlns:a16="http://schemas.microsoft.com/office/drawing/2014/main" id="{71604768-E9B4-486A-901C-9E2035C1E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645" y="43540"/>
          <a:ext cx="1515618" cy="3943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F27B-646A-498A-A4FF-4A5BC2E1070B}">
  <sheetPr>
    <pageSetUpPr fitToPage="1"/>
  </sheetPr>
  <dimension ref="B1:H69"/>
  <sheetViews>
    <sheetView showGridLines="0" tabSelected="1" zoomScale="81" zoomScaleNormal="81" workbookViewId="0">
      <selection activeCell="Q10" sqref="Q10"/>
    </sheetView>
  </sheetViews>
  <sheetFormatPr defaultColWidth="8.44140625" defaultRowHeight="13.2" x14ac:dyDescent="0.3"/>
  <cols>
    <col min="1" max="1" width="8.44140625" style="1"/>
    <col min="2" max="2" width="64.33203125" style="1" customWidth="1"/>
    <col min="3" max="7" width="16.44140625" style="1" customWidth="1"/>
    <col min="8" max="16384" width="8.44140625" style="1"/>
  </cols>
  <sheetData>
    <row r="1" spans="2:8" ht="110.4" customHeight="1" x14ac:dyDescent="0.3">
      <c r="B1" s="69" t="s">
        <v>40</v>
      </c>
      <c r="C1" s="70"/>
      <c r="D1" s="70"/>
      <c r="E1" s="70"/>
      <c r="F1" s="70"/>
      <c r="G1" s="71"/>
      <c r="H1" s="65"/>
    </row>
    <row r="2" spans="2:8" ht="16.5" customHeight="1" x14ac:dyDescent="0.3">
      <c r="B2" s="72"/>
      <c r="C2" s="73" t="s">
        <v>87</v>
      </c>
      <c r="D2" s="74" t="s">
        <v>88</v>
      </c>
      <c r="E2" s="74" t="s">
        <v>89</v>
      </c>
      <c r="F2" s="75" t="s">
        <v>90</v>
      </c>
      <c r="G2" s="76" t="s">
        <v>91</v>
      </c>
      <c r="H2" s="65"/>
    </row>
    <row r="3" spans="2:8" ht="33" customHeight="1" x14ac:dyDescent="0.3">
      <c r="B3" s="77"/>
      <c r="C3" s="78"/>
      <c r="D3" s="79"/>
      <c r="E3" s="79"/>
      <c r="F3" s="80"/>
      <c r="G3" s="81"/>
      <c r="H3" s="65"/>
    </row>
    <row r="4" spans="2:8" ht="37.200000000000003" customHeight="1" x14ac:dyDescent="0.3">
      <c r="B4" s="82" t="s">
        <v>5</v>
      </c>
      <c r="C4" s="83">
        <f>SUM(C9:C13)</f>
        <v>76770.92</v>
      </c>
      <c r="D4" s="83">
        <f t="shared" ref="D4:F4" si="0">SUM(D9:D13)</f>
        <v>57672.92</v>
      </c>
      <c r="E4" s="83">
        <f t="shared" si="0"/>
        <v>21770.92</v>
      </c>
      <c r="F4" s="83">
        <f t="shared" si="0"/>
        <v>21770.92</v>
      </c>
      <c r="G4" s="84">
        <f>SUM(C4:F4)</f>
        <v>177985.68</v>
      </c>
      <c r="H4" s="65"/>
    </row>
    <row r="5" spans="2:8" ht="16.5" hidden="1" customHeight="1" x14ac:dyDescent="0.3">
      <c r="B5" s="85" t="s">
        <v>70</v>
      </c>
      <c r="C5" s="86">
        <v>2500</v>
      </c>
      <c r="D5" s="86">
        <v>2500</v>
      </c>
      <c r="E5" s="86">
        <v>2500</v>
      </c>
      <c r="F5" s="86">
        <v>2500</v>
      </c>
      <c r="G5" s="87">
        <f>SUM(C5:F5)</f>
        <v>10000</v>
      </c>
      <c r="H5" s="65"/>
    </row>
    <row r="6" spans="2:8" ht="16.5" hidden="1" customHeight="1" x14ac:dyDescent="0.3">
      <c r="B6" s="85" t="s">
        <v>63</v>
      </c>
      <c r="C6" s="86">
        <f>48491/4</f>
        <v>12122.75</v>
      </c>
      <c r="D6" s="86">
        <f t="shared" ref="D6:F6" si="1">48491/4</f>
        <v>12122.75</v>
      </c>
      <c r="E6" s="86">
        <f t="shared" si="1"/>
        <v>12122.75</v>
      </c>
      <c r="F6" s="86">
        <f t="shared" si="1"/>
        <v>12122.75</v>
      </c>
      <c r="G6" s="87">
        <f t="shared" ref="G6:G26" si="2">SUM(C6:F6)</f>
        <v>48491</v>
      </c>
      <c r="H6" s="65"/>
    </row>
    <row r="7" spans="2:8" ht="16.5" hidden="1" customHeight="1" x14ac:dyDescent="0.3">
      <c r="B7" s="85" t="s">
        <v>71</v>
      </c>
      <c r="C7" s="86">
        <v>900</v>
      </c>
      <c r="D7" s="86">
        <v>900</v>
      </c>
      <c r="E7" s="86">
        <v>900</v>
      </c>
      <c r="F7" s="86">
        <v>900</v>
      </c>
      <c r="G7" s="87">
        <f t="shared" si="2"/>
        <v>3600</v>
      </c>
      <c r="H7" s="65"/>
    </row>
    <row r="8" spans="2:8" ht="16.5" hidden="1" customHeight="1" x14ac:dyDescent="0.3">
      <c r="B8" s="85" t="s">
        <v>75</v>
      </c>
      <c r="C8" s="86">
        <f>+C63</f>
        <v>4498.17</v>
      </c>
      <c r="D8" s="86">
        <f t="shared" ref="D8:F8" si="3">+D63</f>
        <v>4498.17</v>
      </c>
      <c r="E8" s="86">
        <f t="shared" si="3"/>
        <v>4498.17</v>
      </c>
      <c r="F8" s="86">
        <f t="shared" si="3"/>
        <v>4498.17</v>
      </c>
      <c r="G8" s="87">
        <f t="shared" si="2"/>
        <v>17992.68</v>
      </c>
      <c r="H8" s="65"/>
    </row>
    <row r="9" spans="2:8" ht="16.5" customHeight="1" x14ac:dyDescent="0.3">
      <c r="B9" s="85" t="s">
        <v>6</v>
      </c>
      <c r="C9" s="86">
        <v>20020.919999999998</v>
      </c>
      <c r="D9" s="86">
        <v>20020.919999999998</v>
      </c>
      <c r="E9" s="86">
        <v>20020.919999999998</v>
      </c>
      <c r="F9" s="86">
        <v>20020.919999999998</v>
      </c>
      <c r="G9" s="87">
        <f t="shared" si="2"/>
        <v>80083.679999999993</v>
      </c>
      <c r="H9" s="65"/>
    </row>
    <row r="10" spans="2:8" ht="16.5" customHeight="1" x14ac:dyDescent="0.3">
      <c r="B10" s="85" t="s">
        <v>7</v>
      </c>
      <c r="C10" s="88">
        <v>1000</v>
      </c>
      <c r="D10" s="88">
        <v>1000</v>
      </c>
      <c r="E10" s="88">
        <v>1000</v>
      </c>
      <c r="F10" s="88">
        <v>1000</v>
      </c>
      <c r="G10" s="87">
        <f t="shared" si="2"/>
        <v>4000</v>
      </c>
      <c r="H10" s="65"/>
    </row>
    <row r="11" spans="2:8" ht="16.5" customHeight="1" x14ac:dyDescent="0.3">
      <c r="B11" s="85" t="s">
        <v>8</v>
      </c>
      <c r="C11" s="88">
        <v>750</v>
      </c>
      <c r="D11" s="88">
        <v>750</v>
      </c>
      <c r="E11" s="88">
        <v>750</v>
      </c>
      <c r="F11" s="88">
        <v>750</v>
      </c>
      <c r="G11" s="87">
        <f t="shared" si="2"/>
        <v>3000</v>
      </c>
      <c r="H11" s="65"/>
    </row>
    <row r="12" spans="2:8" ht="16.5" customHeight="1" x14ac:dyDescent="0.3">
      <c r="B12" s="85" t="s">
        <v>43</v>
      </c>
      <c r="C12" s="86">
        <v>30000</v>
      </c>
      <c r="D12" s="86">
        <v>35902</v>
      </c>
      <c r="E12" s="86">
        <v>0</v>
      </c>
      <c r="F12" s="88">
        <v>0</v>
      </c>
      <c r="G12" s="87">
        <f t="shared" si="2"/>
        <v>65902</v>
      </c>
      <c r="H12" s="65"/>
    </row>
    <row r="13" spans="2:8" ht="17.399999999999999" customHeight="1" x14ac:dyDescent="0.3">
      <c r="B13" s="85" t="s">
        <v>9</v>
      </c>
      <c r="C13" s="86">
        <v>25000</v>
      </c>
      <c r="D13" s="86">
        <v>0</v>
      </c>
      <c r="E13" s="88">
        <v>0</v>
      </c>
      <c r="F13" s="88">
        <v>0</v>
      </c>
      <c r="G13" s="87">
        <f t="shared" si="2"/>
        <v>25000</v>
      </c>
      <c r="H13" s="65"/>
    </row>
    <row r="14" spans="2:8" ht="34.200000000000003" customHeight="1" x14ac:dyDescent="0.3">
      <c r="B14" s="89" t="s">
        <v>10</v>
      </c>
      <c r="C14" s="90">
        <f>SUM(C15:C27)</f>
        <v>191739.6</v>
      </c>
      <c r="D14" s="90">
        <f>SUM(D15:D27)</f>
        <v>230989.74666666667</v>
      </c>
      <c r="E14" s="90">
        <f>SUM(E15:E27)</f>
        <v>188801.26666666666</v>
      </c>
      <c r="F14" s="90">
        <f>SUM(F15:F27)</f>
        <v>187196.66666666666</v>
      </c>
      <c r="G14" s="91">
        <f>SUM(C14:F14)</f>
        <v>798727.27999999991</v>
      </c>
      <c r="H14" s="65"/>
    </row>
    <row r="15" spans="2:8" ht="16.5" customHeight="1" x14ac:dyDescent="0.3">
      <c r="B15" s="85" t="s">
        <v>46</v>
      </c>
      <c r="C15" s="86">
        <v>179010</v>
      </c>
      <c r="D15" s="86">
        <v>179010</v>
      </c>
      <c r="E15" s="86">
        <v>179010</v>
      </c>
      <c r="F15" s="86">
        <v>179010</v>
      </c>
      <c r="G15" s="87">
        <f t="shared" ref="G15:G18" si="4">SUM(C15:F15)</f>
        <v>716040</v>
      </c>
      <c r="H15" s="65"/>
    </row>
    <row r="16" spans="2:8" ht="16.5" hidden="1" customHeight="1" x14ac:dyDescent="0.3">
      <c r="B16" s="92" t="s">
        <v>47</v>
      </c>
      <c r="C16" s="86"/>
      <c r="D16" s="86"/>
      <c r="E16" s="86"/>
      <c r="F16" s="86"/>
      <c r="G16" s="87">
        <f t="shared" si="4"/>
        <v>0</v>
      </c>
      <c r="H16" s="65"/>
    </row>
    <row r="17" spans="2:8" ht="16.5" hidden="1" customHeight="1" x14ac:dyDescent="0.3">
      <c r="B17" s="92" t="s">
        <v>92</v>
      </c>
      <c r="C17" s="86"/>
      <c r="D17" s="86"/>
      <c r="E17" s="86"/>
      <c r="F17" s="86"/>
      <c r="G17" s="87">
        <f t="shared" si="4"/>
        <v>0</v>
      </c>
      <c r="H17" s="65"/>
    </row>
    <row r="18" spans="2:8" ht="16.5" customHeight="1" x14ac:dyDescent="0.3">
      <c r="B18" s="85" t="s">
        <v>41</v>
      </c>
      <c r="C18" s="86">
        <v>10000</v>
      </c>
      <c r="D18" s="86">
        <v>8186.666666666667</v>
      </c>
      <c r="E18" s="86">
        <v>8186.666666666667</v>
      </c>
      <c r="F18" s="86">
        <v>8186.666666666667</v>
      </c>
      <c r="G18" s="87">
        <f t="shared" si="4"/>
        <v>34560</v>
      </c>
      <c r="H18" s="65"/>
    </row>
    <row r="19" spans="2:8" ht="16.5" customHeight="1" x14ac:dyDescent="0.3">
      <c r="B19" s="85" t="s">
        <v>48</v>
      </c>
      <c r="C19" s="86"/>
      <c r="D19" s="86">
        <v>7500</v>
      </c>
      <c r="E19" s="86"/>
      <c r="F19" s="93"/>
      <c r="G19" s="87">
        <f t="shared" si="2"/>
        <v>7500</v>
      </c>
      <c r="H19" s="65"/>
    </row>
    <row r="20" spans="2:8" ht="16.5" hidden="1" customHeight="1" x14ac:dyDescent="0.3">
      <c r="B20" s="85"/>
      <c r="C20" s="86"/>
      <c r="D20" s="86"/>
      <c r="E20" s="93"/>
      <c r="F20" s="93"/>
      <c r="G20" s="87">
        <f t="shared" si="2"/>
        <v>0</v>
      </c>
      <c r="H20" s="65"/>
    </row>
    <row r="21" spans="2:8" ht="16.5" hidden="1" customHeight="1" x14ac:dyDescent="0.3">
      <c r="B21" s="85"/>
      <c r="C21" s="86"/>
      <c r="D21" s="86"/>
      <c r="E21" s="86"/>
      <c r="F21" s="86"/>
      <c r="G21" s="87">
        <f t="shared" si="2"/>
        <v>0</v>
      </c>
      <c r="H21" s="65"/>
    </row>
    <row r="22" spans="2:8" ht="16.5" customHeight="1" x14ac:dyDescent="0.3">
      <c r="B22" s="94" t="s">
        <v>53</v>
      </c>
      <c r="C22" s="86"/>
      <c r="D22" s="93"/>
      <c r="E22" s="93"/>
      <c r="F22" s="93"/>
      <c r="G22" s="87"/>
      <c r="H22" s="65"/>
    </row>
    <row r="23" spans="2:8" ht="16.5" customHeight="1" x14ac:dyDescent="0.3">
      <c r="B23" s="85" t="s">
        <v>50</v>
      </c>
      <c r="C23" s="86"/>
      <c r="D23" s="86">
        <v>26680.28</v>
      </c>
      <c r="E23" s="86"/>
      <c r="F23" s="86"/>
      <c r="G23" s="87">
        <f t="shared" si="2"/>
        <v>26680.28</v>
      </c>
      <c r="H23" s="65"/>
    </row>
    <row r="24" spans="2:8" ht="16.5" customHeight="1" x14ac:dyDescent="0.3">
      <c r="B24" s="85" t="s">
        <v>85</v>
      </c>
      <c r="C24" s="86">
        <v>2250</v>
      </c>
      <c r="D24" s="86">
        <v>3375</v>
      </c>
      <c r="E24" s="86">
        <v>1125</v>
      </c>
      <c r="F24" s="86"/>
      <c r="G24" s="87">
        <f t="shared" si="2"/>
        <v>6750</v>
      </c>
      <c r="H24" s="65"/>
    </row>
    <row r="25" spans="2:8" ht="16.5" customHeight="1" x14ac:dyDescent="0.3">
      <c r="B25" s="85" t="s">
        <v>51</v>
      </c>
      <c r="C25" s="86"/>
      <c r="D25" s="86">
        <v>5758.2</v>
      </c>
      <c r="E25" s="86"/>
      <c r="F25" s="86"/>
      <c r="G25" s="87">
        <f t="shared" si="2"/>
        <v>5758.2</v>
      </c>
      <c r="H25" s="65"/>
    </row>
    <row r="26" spans="2:8" ht="15.6" x14ac:dyDescent="0.3">
      <c r="B26" s="85" t="s">
        <v>49</v>
      </c>
      <c r="C26" s="86">
        <v>479.60000000000008</v>
      </c>
      <c r="D26" s="86">
        <v>479.60000000000008</v>
      </c>
      <c r="E26" s="86">
        <v>479.60000000000008</v>
      </c>
      <c r="F26" s="86"/>
      <c r="G26" s="87">
        <f t="shared" si="2"/>
        <v>1438.8000000000002</v>
      </c>
      <c r="H26" s="65"/>
    </row>
    <row r="27" spans="2:8" ht="15.6" x14ac:dyDescent="0.3">
      <c r="B27" s="95"/>
      <c r="C27" s="96"/>
      <c r="D27" s="97"/>
      <c r="E27" s="96"/>
      <c r="F27" s="96"/>
      <c r="G27" s="98"/>
      <c r="H27" s="65"/>
    </row>
    <row r="28" spans="2:8" ht="29.4" customHeight="1" x14ac:dyDescent="0.3">
      <c r="B28" s="82" t="s">
        <v>12</v>
      </c>
      <c r="C28" s="99">
        <f>+C14+C4</f>
        <v>268510.52</v>
      </c>
      <c r="D28" s="99">
        <f>+D14+D4</f>
        <v>288662.66666666669</v>
      </c>
      <c r="E28" s="99">
        <f>+E14+E4</f>
        <v>210572.18666666665</v>
      </c>
      <c r="F28" s="99">
        <f>+F14+F4</f>
        <v>208967.58666666667</v>
      </c>
      <c r="G28" s="91">
        <f>SUM(C28:F28)</f>
        <v>976712.96000000008</v>
      </c>
      <c r="H28" s="65"/>
    </row>
    <row r="29" spans="2:8" ht="22.8" customHeight="1" x14ac:dyDescent="0.3">
      <c r="B29" s="100"/>
      <c r="C29" s="68"/>
      <c r="D29" s="68"/>
      <c r="E29" s="68"/>
      <c r="F29" s="68"/>
      <c r="G29" s="87"/>
      <c r="H29" s="65"/>
    </row>
    <row r="30" spans="2:8" ht="36" customHeight="1" x14ac:dyDescent="0.3">
      <c r="B30" s="89" t="s">
        <v>13</v>
      </c>
      <c r="C30" s="90">
        <f>+C31+C32+C33</f>
        <v>43743.459999912506</v>
      </c>
      <c r="D30" s="90">
        <f>+D31+D32+D33</f>
        <v>43743.459999912506</v>
      </c>
      <c r="E30" s="90">
        <f>+E31+E32+E33</f>
        <v>43743.459999912506</v>
      </c>
      <c r="F30" s="90">
        <f>+F31+F32+F33</f>
        <v>44392.3599999125</v>
      </c>
      <c r="G30" s="91">
        <f>SUM(C30:F30)</f>
        <v>175622.73999965002</v>
      </c>
      <c r="H30" s="65"/>
    </row>
    <row r="31" spans="2:8" ht="16.5" customHeight="1" x14ac:dyDescent="0.3">
      <c r="B31" s="85" t="s">
        <v>14</v>
      </c>
      <c r="C31" s="88">
        <v>187.5</v>
      </c>
      <c r="D31" s="88">
        <v>187.5</v>
      </c>
      <c r="E31" s="88">
        <v>187.5</v>
      </c>
      <c r="F31" s="88">
        <v>187.5</v>
      </c>
      <c r="G31" s="87">
        <f t="shared" ref="G31:G32" si="5">SUM(C31:F31)</f>
        <v>750</v>
      </c>
      <c r="H31" s="65"/>
    </row>
    <row r="32" spans="2:8" ht="16.5" customHeight="1" x14ac:dyDescent="0.3">
      <c r="B32" s="85" t="s">
        <v>15</v>
      </c>
      <c r="C32" s="86">
        <v>227.14</v>
      </c>
      <c r="D32" s="86">
        <v>227.14</v>
      </c>
      <c r="E32" s="86">
        <v>227.14</v>
      </c>
      <c r="F32" s="86">
        <v>227.14</v>
      </c>
      <c r="G32" s="87">
        <f t="shared" si="5"/>
        <v>908.56</v>
      </c>
      <c r="H32" s="65"/>
    </row>
    <row r="33" spans="2:8" ht="16.5" customHeight="1" x14ac:dyDescent="0.3">
      <c r="B33" s="100" t="s">
        <v>16</v>
      </c>
      <c r="C33" s="68">
        <f>+C34+C44</f>
        <v>43328.819999912506</v>
      </c>
      <c r="D33" s="68">
        <f t="shared" ref="D33:F33" si="6">+D34+D44</f>
        <v>43328.819999912506</v>
      </c>
      <c r="E33" s="68">
        <f t="shared" si="6"/>
        <v>43328.819999912506</v>
      </c>
      <c r="F33" s="68">
        <f t="shared" si="6"/>
        <v>43977.7199999125</v>
      </c>
      <c r="G33" s="87">
        <f>SUM(C33:F33)</f>
        <v>173964.17999965002</v>
      </c>
      <c r="H33" s="65"/>
    </row>
    <row r="34" spans="2:8" ht="16.5" customHeight="1" x14ac:dyDescent="0.3">
      <c r="B34" s="94" t="s">
        <v>57</v>
      </c>
      <c r="C34" s="68">
        <f>SUM(C35:C43)</f>
        <v>16475.499999912499</v>
      </c>
      <c r="D34" s="68">
        <f t="shared" ref="D34:F34" si="7">SUM(D35:D43)</f>
        <v>16475.499999912499</v>
      </c>
      <c r="E34" s="68">
        <f t="shared" si="7"/>
        <v>16475.499999912499</v>
      </c>
      <c r="F34" s="68">
        <f t="shared" si="7"/>
        <v>16475.499999912499</v>
      </c>
      <c r="G34" s="87">
        <f t="shared" ref="G34:G43" si="8">SUM(C34:F34)</f>
        <v>65901.999999649997</v>
      </c>
      <c r="H34" s="65"/>
    </row>
    <row r="35" spans="2:8" ht="16.5" customHeight="1" x14ac:dyDescent="0.3">
      <c r="B35" s="101" t="s">
        <v>17</v>
      </c>
      <c r="C35" s="102">
        <v>15514.2999999125</v>
      </c>
      <c r="D35" s="102">
        <v>15514.2999999125</v>
      </c>
      <c r="E35" s="102">
        <v>15514.2999999125</v>
      </c>
      <c r="F35" s="102">
        <v>15514.2999999125</v>
      </c>
      <c r="G35" s="87">
        <f t="shared" si="8"/>
        <v>62057.199999650002</v>
      </c>
      <c r="H35" s="65"/>
    </row>
    <row r="36" spans="2:8" ht="16.5" hidden="1" customHeight="1" x14ac:dyDescent="0.3">
      <c r="B36" s="101" t="s">
        <v>18</v>
      </c>
      <c r="C36" s="102"/>
      <c r="D36" s="102"/>
      <c r="E36" s="102"/>
      <c r="F36" s="102"/>
      <c r="G36" s="87">
        <f t="shared" si="8"/>
        <v>0</v>
      </c>
      <c r="H36" s="65"/>
    </row>
    <row r="37" spans="2:8" ht="16.5" customHeight="1" x14ac:dyDescent="0.3">
      <c r="B37" s="101" t="s">
        <v>19</v>
      </c>
      <c r="C37" s="102">
        <v>80</v>
      </c>
      <c r="D37" s="102">
        <v>80</v>
      </c>
      <c r="E37" s="102">
        <v>80</v>
      </c>
      <c r="F37" s="102">
        <v>80</v>
      </c>
      <c r="G37" s="87">
        <f t="shared" si="8"/>
        <v>320</v>
      </c>
      <c r="H37" s="65"/>
    </row>
    <row r="38" spans="2:8" ht="16.5" customHeight="1" x14ac:dyDescent="0.3">
      <c r="B38" s="101" t="s">
        <v>20</v>
      </c>
      <c r="C38" s="102">
        <v>172.5</v>
      </c>
      <c r="D38" s="102">
        <v>172.5</v>
      </c>
      <c r="E38" s="102">
        <v>172.5</v>
      </c>
      <c r="F38" s="102">
        <v>172.5</v>
      </c>
      <c r="G38" s="87">
        <f t="shared" si="8"/>
        <v>690</v>
      </c>
      <c r="H38" s="65"/>
    </row>
    <row r="39" spans="2:8" ht="16.5" customHeight="1" x14ac:dyDescent="0.3">
      <c r="B39" s="101" t="s">
        <v>21</v>
      </c>
      <c r="C39" s="102">
        <v>400</v>
      </c>
      <c r="D39" s="102">
        <v>400</v>
      </c>
      <c r="E39" s="102">
        <v>400</v>
      </c>
      <c r="F39" s="102">
        <v>400</v>
      </c>
      <c r="G39" s="87">
        <f t="shared" si="8"/>
        <v>1600</v>
      </c>
      <c r="H39" s="65"/>
    </row>
    <row r="40" spans="2:8" ht="15.6" x14ac:dyDescent="0.3">
      <c r="B40" s="101" t="s">
        <v>22</v>
      </c>
      <c r="C40" s="102">
        <v>158.69999999999999</v>
      </c>
      <c r="D40" s="102">
        <v>158.69999999999999</v>
      </c>
      <c r="E40" s="102">
        <v>158.69999999999999</v>
      </c>
      <c r="F40" s="102">
        <v>158.69999999999999</v>
      </c>
      <c r="G40" s="87">
        <f t="shared" si="8"/>
        <v>634.79999999999995</v>
      </c>
      <c r="H40" s="65"/>
    </row>
    <row r="41" spans="2:8" ht="15.6" hidden="1" x14ac:dyDescent="0.3">
      <c r="B41" s="101" t="s">
        <v>22</v>
      </c>
      <c r="C41" s="102"/>
      <c r="D41" s="102"/>
      <c r="E41" s="102"/>
      <c r="F41" s="102"/>
      <c r="G41" s="87">
        <f t="shared" si="8"/>
        <v>0</v>
      </c>
      <c r="H41" s="65"/>
    </row>
    <row r="42" spans="2:8" ht="15.6" hidden="1" x14ac:dyDescent="0.3">
      <c r="B42" s="101" t="s">
        <v>23</v>
      </c>
      <c r="C42" s="102"/>
      <c r="D42" s="102"/>
      <c r="E42" s="102"/>
      <c r="F42" s="102"/>
      <c r="G42" s="87">
        <f t="shared" si="8"/>
        <v>0</v>
      </c>
      <c r="H42" s="65"/>
    </row>
    <row r="43" spans="2:8" ht="16.5" customHeight="1" x14ac:dyDescent="0.3">
      <c r="B43" s="101" t="s">
        <v>24</v>
      </c>
      <c r="C43" s="102">
        <v>150</v>
      </c>
      <c r="D43" s="102">
        <v>150</v>
      </c>
      <c r="E43" s="102">
        <v>150</v>
      </c>
      <c r="F43" s="102">
        <v>150</v>
      </c>
      <c r="G43" s="87">
        <f t="shared" si="8"/>
        <v>600</v>
      </c>
      <c r="H43" s="65"/>
    </row>
    <row r="44" spans="2:8" ht="23.4" customHeight="1" x14ac:dyDescent="0.3">
      <c r="B44" s="94" t="s">
        <v>76</v>
      </c>
      <c r="C44" s="68">
        <f>+C61</f>
        <v>26853.320000000003</v>
      </c>
      <c r="D44" s="68">
        <f t="shared" ref="D44:F44" si="9">+D61</f>
        <v>26853.320000000003</v>
      </c>
      <c r="E44" s="68">
        <f t="shared" si="9"/>
        <v>26853.320000000003</v>
      </c>
      <c r="F44" s="68">
        <f t="shared" si="9"/>
        <v>27502.22</v>
      </c>
      <c r="G44" s="87">
        <f>SUM(C44:F44)</f>
        <v>108062.18000000001</v>
      </c>
      <c r="H44" s="65"/>
    </row>
    <row r="45" spans="2:8" ht="30" customHeight="1" x14ac:dyDescent="0.3">
      <c r="B45" s="89" t="s">
        <v>25</v>
      </c>
      <c r="C45" s="90">
        <f>SUM(C46:C56)</f>
        <v>199992.92666666667</v>
      </c>
      <c r="D45" s="90">
        <f>SUM(D46:D56)</f>
        <v>210463.64</v>
      </c>
      <c r="E45" s="90">
        <f>SUM(E46:E56)</f>
        <v>198120.71333333332</v>
      </c>
      <c r="F45" s="90">
        <f>SUM(F46:F56)</f>
        <v>190150</v>
      </c>
      <c r="G45" s="91">
        <f>SUM(C45:F45)</f>
        <v>798727.28</v>
      </c>
      <c r="H45" s="65"/>
    </row>
    <row r="46" spans="2:8" ht="16.5" customHeight="1" x14ac:dyDescent="0.3">
      <c r="B46" s="85" t="s">
        <v>46</v>
      </c>
      <c r="C46" s="86">
        <v>179010</v>
      </c>
      <c r="D46" s="86">
        <v>179010</v>
      </c>
      <c r="E46" s="86">
        <v>179010</v>
      </c>
      <c r="F46" s="86">
        <v>179010</v>
      </c>
      <c r="G46" s="87">
        <f>SUM(C46:F46)</f>
        <v>716040</v>
      </c>
      <c r="H46" s="65"/>
    </row>
    <row r="47" spans="2:8" ht="16.5" hidden="1" customHeight="1" x14ac:dyDescent="0.3">
      <c r="B47" s="92" t="s">
        <v>47</v>
      </c>
      <c r="C47" s="86"/>
      <c r="D47" s="86"/>
      <c r="E47" s="86"/>
      <c r="F47" s="86"/>
      <c r="G47" s="87">
        <f t="shared" ref="G47:G55" si="10">SUM(C47:F47)</f>
        <v>0</v>
      </c>
      <c r="H47" s="65"/>
    </row>
    <row r="48" spans="2:8" ht="16.5" customHeight="1" x14ac:dyDescent="0.3">
      <c r="B48" s="85" t="s">
        <v>41</v>
      </c>
      <c r="C48" s="86">
        <v>8640</v>
      </c>
      <c r="D48" s="86">
        <v>8640</v>
      </c>
      <c r="E48" s="86">
        <v>8640</v>
      </c>
      <c r="F48" s="86">
        <v>8640</v>
      </c>
      <c r="G48" s="87">
        <f t="shared" si="10"/>
        <v>34560</v>
      </c>
      <c r="H48" s="65"/>
    </row>
    <row r="49" spans="2:8" ht="16.5" customHeight="1" x14ac:dyDescent="0.3">
      <c r="B49" s="85" t="s">
        <v>48</v>
      </c>
      <c r="C49" s="86"/>
      <c r="D49" s="86">
        <v>2500</v>
      </c>
      <c r="E49" s="86">
        <v>2500</v>
      </c>
      <c r="F49" s="86">
        <v>2500</v>
      </c>
      <c r="G49" s="87">
        <f t="shared" si="10"/>
        <v>7500</v>
      </c>
      <c r="H49" s="65"/>
    </row>
    <row r="50" spans="2:8" ht="16.5" hidden="1" customHeight="1" x14ac:dyDescent="0.3">
      <c r="B50" s="85"/>
      <c r="C50" s="86"/>
      <c r="D50" s="86"/>
      <c r="E50" s="86"/>
      <c r="F50" s="86"/>
      <c r="G50" s="87">
        <f t="shared" si="10"/>
        <v>0</v>
      </c>
      <c r="H50" s="65"/>
    </row>
    <row r="51" spans="2:8" ht="16.5" hidden="1" customHeight="1" x14ac:dyDescent="0.3">
      <c r="B51" s="85"/>
      <c r="C51" s="86"/>
      <c r="D51" s="86"/>
      <c r="E51" s="86"/>
      <c r="F51" s="86"/>
      <c r="G51" s="87">
        <f t="shared" si="10"/>
        <v>0</v>
      </c>
      <c r="H51" s="65"/>
    </row>
    <row r="52" spans="2:8" ht="16.5" customHeight="1" x14ac:dyDescent="0.3">
      <c r="B52" s="94" t="s">
        <v>53</v>
      </c>
      <c r="C52" s="86"/>
      <c r="D52" s="86"/>
      <c r="E52" s="86"/>
      <c r="F52" s="86"/>
      <c r="G52" s="87"/>
      <c r="H52" s="65"/>
    </row>
    <row r="53" spans="2:8" ht="16.5" customHeight="1" x14ac:dyDescent="0.3">
      <c r="B53" s="85" t="s">
        <v>52</v>
      </c>
      <c r="C53" s="86">
        <v>11143.426666666666</v>
      </c>
      <c r="D53" s="86">
        <v>16715.14</v>
      </c>
      <c r="E53" s="86">
        <v>5571.7133333333331</v>
      </c>
      <c r="F53" s="86"/>
      <c r="G53" s="87">
        <f t="shared" si="10"/>
        <v>33430.28</v>
      </c>
      <c r="H53" s="65"/>
    </row>
    <row r="54" spans="2:8" ht="16.5" customHeight="1" x14ac:dyDescent="0.3">
      <c r="B54" s="85" t="s">
        <v>51</v>
      </c>
      <c r="C54" s="86">
        <v>1199.5</v>
      </c>
      <c r="D54" s="86">
        <v>3598.5</v>
      </c>
      <c r="E54" s="86">
        <v>2399</v>
      </c>
      <c r="F54" s="86"/>
      <c r="G54" s="87">
        <f t="shared" si="10"/>
        <v>7197</v>
      </c>
      <c r="H54" s="65"/>
    </row>
    <row r="55" spans="2:8" ht="16.5" hidden="1" customHeight="1" x14ac:dyDescent="0.3">
      <c r="B55" s="85"/>
      <c r="C55" s="86"/>
      <c r="D55" s="86"/>
      <c r="E55" s="86"/>
      <c r="F55" s="86"/>
      <c r="G55" s="87">
        <f t="shared" si="10"/>
        <v>0</v>
      </c>
      <c r="H55" s="65"/>
    </row>
    <row r="56" spans="2:8" ht="15.6" x14ac:dyDescent="0.3">
      <c r="B56" s="85"/>
      <c r="C56" s="86"/>
      <c r="D56" s="86"/>
      <c r="E56" s="86"/>
      <c r="F56" s="86"/>
      <c r="G56" s="87"/>
      <c r="H56" s="65"/>
    </row>
    <row r="57" spans="2:8" ht="32.4" customHeight="1" x14ac:dyDescent="0.3">
      <c r="B57" s="82" t="s">
        <v>26</v>
      </c>
      <c r="C57" s="99">
        <f>+C45+C30</f>
        <v>243736.38666657917</v>
      </c>
      <c r="D57" s="99">
        <f>+D45+D30</f>
        <v>254207.09999991252</v>
      </c>
      <c r="E57" s="99">
        <f>+E45+E30</f>
        <v>241864.17333324582</v>
      </c>
      <c r="F57" s="99">
        <f>+F45+F30</f>
        <v>234542.3599999125</v>
      </c>
      <c r="G57" s="91">
        <f>SUM(C57:F57)</f>
        <v>974350.01999965007</v>
      </c>
      <c r="H57" s="65"/>
    </row>
    <row r="58" spans="2:8" ht="38.4" customHeight="1" x14ac:dyDescent="0.3">
      <c r="B58" s="18" t="s">
        <v>27</v>
      </c>
      <c r="C58" s="66">
        <f>+C28-C57</f>
        <v>24774.133333420847</v>
      </c>
      <c r="D58" s="66">
        <f>+D28-D57</f>
        <v>34455.566666754166</v>
      </c>
      <c r="E58" s="66">
        <f>+E28-E57</f>
        <v>-31291.986666579178</v>
      </c>
      <c r="F58" s="66">
        <f>+F28-F57</f>
        <v>-25574.77333324583</v>
      </c>
      <c r="G58" s="67">
        <f>+G28-G57</f>
        <v>2362.940000350005</v>
      </c>
      <c r="H58" s="65"/>
    </row>
    <row r="59" spans="2:8" ht="55.8" customHeight="1" x14ac:dyDescent="0.3">
      <c r="B59" s="103" t="s">
        <v>54</v>
      </c>
      <c r="C59" s="68"/>
      <c r="D59" s="68"/>
      <c r="E59" s="68"/>
      <c r="F59" s="68"/>
      <c r="G59" s="68"/>
      <c r="H59" s="65"/>
    </row>
    <row r="60" spans="2:8" ht="29.4" customHeight="1" x14ac:dyDescent="0.3">
      <c r="B60" s="104"/>
      <c r="C60" s="104"/>
      <c r="D60" s="104"/>
      <c r="E60" s="104"/>
      <c r="F60" s="104"/>
      <c r="G60" s="104"/>
      <c r="H60" s="65"/>
    </row>
    <row r="61" spans="2:8" ht="36.6" customHeight="1" x14ac:dyDescent="0.3">
      <c r="B61" s="105" t="s">
        <v>77</v>
      </c>
      <c r="C61" s="106">
        <f t="shared" ref="C61:E61" si="11">+C62+C63+C65+C66+C64</f>
        <v>26853.320000000003</v>
      </c>
      <c r="D61" s="106">
        <f t="shared" si="11"/>
        <v>26853.320000000003</v>
      </c>
      <c r="E61" s="107">
        <f t="shared" si="11"/>
        <v>26853.320000000003</v>
      </c>
      <c r="F61" s="107">
        <f>+F62+F63+F65+F66+F64</f>
        <v>27502.22</v>
      </c>
      <c r="G61" s="108">
        <f>SUM(C61:F61)</f>
        <v>108062.18000000001</v>
      </c>
      <c r="H61" s="65"/>
    </row>
    <row r="62" spans="2:8" ht="15.6" x14ac:dyDescent="0.3">
      <c r="B62" s="109" t="s">
        <v>28</v>
      </c>
      <c r="C62" s="110">
        <v>18108.45</v>
      </c>
      <c r="D62" s="110">
        <v>18108.45</v>
      </c>
      <c r="E62" s="110">
        <v>18108.45</v>
      </c>
      <c r="F62" s="110">
        <v>18108.45</v>
      </c>
      <c r="G62" s="111">
        <f t="shared" ref="G62:G66" si="12">SUM(C62:F62)</f>
        <v>72433.8</v>
      </c>
      <c r="H62" s="65"/>
    </row>
    <row r="63" spans="2:8" ht="12.9" customHeight="1" x14ac:dyDescent="0.3">
      <c r="B63" s="109" t="s">
        <v>84</v>
      </c>
      <c r="C63" s="110">
        <v>4498.17</v>
      </c>
      <c r="D63" s="110">
        <v>4498.17</v>
      </c>
      <c r="E63" s="110">
        <v>4498.17</v>
      </c>
      <c r="F63" s="110">
        <v>4498.17</v>
      </c>
      <c r="G63" s="111">
        <f t="shared" si="12"/>
        <v>17992.68</v>
      </c>
      <c r="H63" s="65"/>
    </row>
    <row r="64" spans="2:8" ht="15.6" x14ac:dyDescent="0.3">
      <c r="B64" s="109" t="s">
        <v>78</v>
      </c>
      <c r="C64" s="110">
        <v>1946.6999999999998</v>
      </c>
      <c r="D64" s="110">
        <v>1946.6999999999998</v>
      </c>
      <c r="E64" s="110">
        <v>1946.6999999999998</v>
      </c>
      <c r="F64" s="110">
        <v>2595.6</v>
      </c>
      <c r="G64" s="111">
        <f t="shared" si="12"/>
        <v>8435.6999999999989</v>
      </c>
      <c r="H64" s="65"/>
    </row>
    <row r="65" spans="2:8" ht="15.6" x14ac:dyDescent="0.3">
      <c r="B65" s="109" t="s">
        <v>30</v>
      </c>
      <c r="C65" s="110">
        <v>500</v>
      </c>
      <c r="D65" s="110">
        <v>500</v>
      </c>
      <c r="E65" s="110">
        <v>500</v>
      </c>
      <c r="F65" s="110">
        <v>500</v>
      </c>
      <c r="G65" s="111">
        <f t="shared" si="12"/>
        <v>2000</v>
      </c>
      <c r="H65" s="65"/>
    </row>
    <row r="66" spans="2:8" ht="15.6" x14ac:dyDescent="0.3">
      <c r="B66" s="112" t="s">
        <v>31</v>
      </c>
      <c r="C66" s="113">
        <v>1800</v>
      </c>
      <c r="D66" s="113">
        <v>1800</v>
      </c>
      <c r="E66" s="113">
        <v>1800</v>
      </c>
      <c r="F66" s="113">
        <v>1800</v>
      </c>
      <c r="G66" s="114">
        <f t="shared" si="12"/>
        <v>7200</v>
      </c>
      <c r="H66" s="65"/>
    </row>
    <row r="69" spans="2:8" x14ac:dyDescent="0.3">
      <c r="C69" s="25"/>
      <c r="D69" s="25"/>
      <c r="E69" s="25"/>
      <c r="F69" s="25"/>
      <c r="G69" s="25"/>
    </row>
  </sheetData>
  <mergeCells count="6">
    <mergeCell ref="B1:G1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scale="5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CC855-1ED1-42C5-997B-776C1825B1D6}">
  <dimension ref="B1:X104"/>
  <sheetViews>
    <sheetView showGridLines="0" topLeftCell="A15" zoomScale="81" zoomScaleNormal="81" workbookViewId="0">
      <selection activeCell="C17" sqref="C17"/>
    </sheetView>
  </sheetViews>
  <sheetFormatPr defaultColWidth="8.44140625" defaultRowHeight="13.2" x14ac:dyDescent="0.3"/>
  <cols>
    <col min="1" max="1" width="8.44140625" style="1"/>
    <col min="2" max="2" width="59.5546875" style="1" customWidth="1"/>
    <col min="3" max="7" width="16.44140625" style="1" customWidth="1"/>
    <col min="8" max="8" width="9" style="1" bestFit="1" customWidth="1"/>
    <col min="9" max="9" width="9.109375" style="1" bestFit="1" customWidth="1"/>
    <col min="10" max="10" width="8.44140625" style="1"/>
    <col min="11" max="11" width="9" style="1" bestFit="1" customWidth="1"/>
    <col min="12" max="16" width="8.44140625" style="1"/>
    <col min="17" max="17" width="9" style="1" bestFit="1" customWidth="1"/>
    <col min="18" max="16384" width="8.44140625" style="1"/>
  </cols>
  <sheetData>
    <row r="1" spans="2:14" ht="42.75" customHeight="1" x14ac:dyDescent="0.3">
      <c r="B1" s="62" t="s">
        <v>40</v>
      </c>
      <c r="C1" s="63"/>
      <c r="D1" s="63"/>
      <c r="E1" s="63"/>
      <c r="F1" s="63"/>
      <c r="G1" s="64"/>
    </row>
    <row r="2" spans="2:14" ht="16.5" customHeight="1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4" t="s">
        <v>4</v>
      </c>
    </row>
    <row r="3" spans="2:14" ht="16.5" customHeight="1" x14ac:dyDescent="0.25">
      <c r="B3" s="5"/>
      <c r="C3" s="6"/>
      <c r="D3" s="6"/>
      <c r="E3" s="7"/>
      <c r="F3" s="6"/>
      <c r="G3" s="8"/>
    </row>
    <row r="4" spans="2:14" ht="16.5" customHeight="1" x14ac:dyDescent="0.3">
      <c r="B4" s="9" t="s">
        <v>5</v>
      </c>
      <c r="C4" s="10">
        <f>SUM(C9:C13)</f>
        <v>76770.92</v>
      </c>
      <c r="D4" s="10">
        <f t="shared" ref="D4:F4" si="0">SUM(D9:D13)</f>
        <v>57672.92</v>
      </c>
      <c r="E4" s="10">
        <f t="shared" si="0"/>
        <v>21770.92</v>
      </c>
      <c r="F4" s="10">
        <f t="shared" si="0"/>
        <v>21770.92</v>
      </c>
      <c r="G4" s="11">
        <f>SUM(C4:F4)</f>
        <v>177985.68</v>
      </c>
    </row>
    <row r="5" spans="2:14" ht="16.5" hidden="1" customHeight="1" x14ac:dyDescent="0.3">
      <c r="B5" s="12" t="s">
        <v>70</v>
      </c>
      <c r="C5" s="13">
        <v>2500</v>
      </c>
      <c r="D5" s="13">
        <v>2500</v>
      </c>
      <c r="E5" s="13">
        <v>2500</v>
      </c>
      <c r="F5" s="13">
        <v>2500</v>
      </c>
      <c r="G5" s="14">
        <f>SUM(C5:F5)</f>
        <v>10000</v>
      </c>
    </row>
    <row r="6" spans="2:14" ht="16.5" hidden="1" customHeight="1" x14ac:dyDescent="0.3">
      <c r="B6" s="12" t="s">
        <v>63</v>
      </c>
      <c r="C6" s="13">
        <f>48491/4</f>
        <v>12122.75</v>
      </c>
      <c r="D6" s="13">
        <f t="shared" ref="D6:F6" si="1">48491/4</f>
        <v>12122.75</v>
      </c>
      <c r="E6" s="13">
        <f t="shared" si="1"/>
        <v>12122.75</v>
      </c>
      <c r="F6" s="13">
        <f t="shared" si="1"/>
        <v>12122.75</v>
      </c>
      <c r="G6" s="14">
        <f t="shared" ref="G6:G9" si="2">SUM(C6:F6)</f>
        <v>48491</v>
      </c>
    </row>
    <row r="7" spans="2:14" ht="16.5" hidden="1" customHeight="1" x14ac:dyDescent="0.3">
      <c r="B7" s="12" t="s">
        <v>71</v>
      </c>
      <c r="C7" s="13">
        <v>900</v>
      </c>
      <c r="D7" s="13">
        <v>900</v>
      </c>
      <c r="E7" s="13">
        <v>900</v>
      </c>
      <c r="F7" s="13">
        <v>900</v>
      </c>
      <c r="G7" s="14">
        <f t="shared" si="2"/>
        <v>3600</v>
      </c>
    </row>
    <row r="8" spans="2:14" ht="16.5" hidden="1" customHeight="1" x14ac:dyDescent="0.3">
      <c r="B8" s="12" t="s">
        <v>75</v>
      </c>
      <c r="C8" s="13">
        <f>+C63</f>
        <v>4498.17</v>
      </c>
      <c r="D8" s="13">
        <f t="shared" ref="D8:F8" si="3">+D63</f>
        <v>4498.17</v>
      </c>
      <c r="E8" s="13">
        <f t="shared" si="3"/>
        <v>4498.17</v>
      </c>
      <c r="F8" s="13">
        <f t="shared" si="3"/>
        <v>4498.17</v>
      </c>
      <c r="G8" s="14">
        <f t="shared" si="2"/>
        <v>17992.68</v>
      </c>
    </row>
    <row r="9" spans="2:14" ht="16.5" customHeight="1" x14ac:dyDescent="0.3">
      <c r="B9" s="12" t="s">
        <v>6</v>
      </c>
      <c r="C9" s="13">
        <f>+C7+C6+C5+C8</f>
        <v>20020.919999999998</v>
      </c>
      <c r="D9" s="13">
        <f t="shared" ref="D9:F9" si="4">+D7+D6+D5+D8</f>
        <v>20020.919999999998</v>
      </c>
      <c r="E9" s="13">
        <f t="shared" si="4"/>
        <v>20020.919999999998</v>
      </c>
      <c r="F9" s="13">
        <f t="shared" si="4"/>
        <v>20020.919999999998</v>
      </c>
      <c r="G9" s="14">
        <f t="shared" si="2"/>
        <v>80083.679999999993</v>
      </c>
    </row>
    <row r="10" spans="2:14" ht="16.5" customHeight="1" x14ac:dyDescent="0.3">
      <c r="B10" s="12" t="s">
        <v>7</v>
      </c>
      <c r="C10" s="41">
        <v>1000</v>
      </c>
      <c r="D10" s="41">
        <v>1000</v>
      </c>
      <c r="E10" s="41">
        <v>1000</v>
      </c>
      <c r="F10" s="41">
        <v>1000</v>
      </c>
      <c r="G10" s="14">
        <f t="shared" ref="G10:G26" si="5">SUM(C10:F10)</f>
        <v>4000</v>
      </c>
      <c r="I10" s="1" t="s">
        <v>32</v>
      </c>
      <c r="K10" s="1" t="s">
        <v>33</v>
      </c>
      <c r="N10" s="1" t="s">
        <v>34</v>
      </c>
    </row>
    <row r="11" spans="2:14" ht="16.5" customHeight="1" x14ac:dyDescent="0.3">
      <c r="B11" s="12" t="s">
        <v>8</v>
      </c>
      <c r="C11" s="41">
        <v>750</v>
      </c>
      <c r="D11" s="41">
        <f>+C11</f>
        <v>750</v>
      </c>
      <c r="E11" s="41">
        <f t="shared" ref="E11:F11" si="6">+D11</f>
        <v>750</v>
      </c>
      <c r="F11" s="41">
        <f t="shared" si="6"/>
        <v>750</v>
      </c>
      <c r="G11" s="14">
        <f t="shared" si="5"/>
        <v>3000</v>
      </c>
      <c r="I11" s="1" t="s">
        <v>36</v>
      </c>
      <c r="K11" s="1" t="s">
        <v>35</v>
      </c>
      <c r="N11" s="1" t="s">
        <v>37</v>
      </c>
    </row>
    <row r="12" spans="2:14" ht="16.5" customHeight="1" x14ac:dyDescent="0.3">
      <c r="B12" s="12" t="s">
        <v>43</v>
      </c>
      <c r="C12" s="13">
        <v>30000</v>
      </c>
      <c r="D12" s="13">
        <f>65902-30000</f>
        <v>35902</v>
      </c>
      <c r="E12" s="13">
        <v>0</v>
      </c>
      <c r="F12" s="41">
        <v>0</v>
      </c>
      <c r="G12" s="14">
        <f t="shared" si="5"/>
        <v>65902</v>
      </c>
      <c r="I12" s="1" t="s">
        <v>42</v>
      </c>
    </row>
    <row r="13" spans="2:14" ht="16.5" customHeight="1" x14ac:dyDescent="0.3">
      <c r="B13" s="12" t="s">
        <v>9</v>
      </c>
      <c r="C13" s="13">
        <v>25000</v>
      </c>
      <c r="D13" s="13">
        <v>0</v>
      </c>
      <c r="E13" s="41">
        <v>0</v>
      </c>
      <c r="F13" s="41">
        <v>0</v>
      </c>
      <c r="G13" s="14">
        <f t="shared" si="5"/>
        <v>25000</v>
      </c>
      <c r="K13" s="1" t="s">
        <v>38</v>
      </c>
      <c r="N13" s="1" t="s">
        <v>39</v>
      </c>
    </row>
    <row r="14" spans="2:14" ht="16.5" customHeight="1" x14ac:dyDescent="0.3">
      <c r="B14" s="42" t="s">
        <v>10</v>
      </c>
      <c r="C14" s="43">
        <f>SUM(C15:C27)</f>
        <v>191739.6</v>
      </c>
      <c r="D14" s="43">
        <f>SUM(D15:D27)</f>
        <v>230989.74666666667</v>
      </c>
      <c r="E14" s="43">
        <f>SUM(E15:E27)</f>
        <v>188801.26666666666</v>
      </c>
      <c r="F14" s="43">
        <f>SUM(F15:F27)</f>
        <v>187196.66666666666</v>
      </c>
      <c r="G14" s="44">
        <f>SUM(C14:F14)</f>
        <v>798727.27999999991</v>
      </c>
    </row>
    <row r="15" spans="2:14" ht="16.5" customHeight="1" x14ac:dyDescent="0.3">
      <c r="B15" s="12" t="s">
        <v>46</v>
      </c>
      <c r="C15" s="13">
        <f>59670*3</f>
        <v>179010</v>
      </c>
      <c r="D15" s="13">
        <f t="shared" ref="D15:F15" si="7">59670*3</f>
        <v>179010</v>
      </c>
      <c r="E15" s="13">
        <f t="shared" si="7"/>
        <v>179010</v>
      </c>
      <c r="F15" s="13">
        <f t="shared" si="7"/>
        <v>179010</v>
      </c>
      <c r="G15" s="14">
        <f t="shared" ref="G15:G18" si="8">SUM(C15:F15)</f>
        <v>716040</v>
      </c>
      <c r="J15" s="1" t="s">
        <v>64</v>
      </c>
    </row>
    <row r="16" spans="2:14" ht="16.5" customHeight="1" x14ac:dyDescent="0.3">
      <c r="B16" s="61" t="s">
        <v>47</v>
      </c>
      <c r="C16" s="13"/>
      <c r="D16" s="13"/>
      <c r="E16" s="13"/>
      <c r="F16" s="13"/>
      <c r="G16" s="14">
        <f t="shared" si="8"/>
        <v>0</v>
      </c>
      <c r="J16" s="1" t="s">
        <v>45</v>
      </c>
    </row>
    <row r="17" spans="2:24" ht="16.5" customHeight="1" x14ac:dyDescent="0.3">
      <c r="B17" s="61" t="s">
        <v>86</v>
      </c>
      <c r="C17" s="13"/>
      <c r="D17" s="13"/>
      <c r="E17" s="13"/>
      <c r="F17" s="13"/>
      <c r="G17" s="14">
        <f t="shared" si="8"/>
        <v>0</v>
      </c>
      <c r="J17" s="1" t="s">
        <v>45</v>
      </c>
    </row>
    <row r="18" spans="2:24" ht="16.5" customHeight="1" x14ac:dyDescent="0.3">
      <c r="B18" s="12" t="s">
        <v>41</v>
      </c>
      <c r="C18" s="13">
        <v>10000</v>
      </c>
      <c r="D18" s="13">
        <v>8186.666666666667</v>
      </c>
      <c r="E18" s="13">
        <v>8186.666666666667</v>
      </c>
      <c r="F18" s="13">
        <v>8186.666666666667</v>
      </c>
      <c r="G18" s="14">
        <f t="shared" si="8"/>
        <v>34560</v>
      </c>
      <c r="J18" s="1" t="s">
        <v>45</v>
      </c>
      <c r="N18" s="1" t="s">
        <v>58</v>
      </c>
      <c r="S18" s="29">
        <v>27000</v>
      </c>
    </row>
    <row r="19" spans="2:24" ht="16.5" customHeight="1" x14ac:dyDescent="0.3">
      <c r="B19" s="12" t="s">
        <v>48</v>
      </c>
      <c r="C19" s="13"/>
      <c r="D19" s="13">
        <v>7500</v>
      </c>
      <c r="E19" s="13"/>
      <c r="F19" s="45"/>
      <c r="G19" s="14">
        <f t="shared" si="5"/>
        <v>7500</v>
      </c>
      <c r="J19" s="1" t="s">
        <v>44</v>
      </c>
      <c r="M19" s="1">
        <v>7500</v>
      </c>
    </row>
    <row r="20" spans="2:24" ht="16.5" hidden="1" customHeight="1" x14ac:dyDescent="0.3">
      <c r="B20" s="12"/>
      <c r="C20" s="13"/>
      <c r="D20" s="13"/>
      <c r="E20" s="45"/>
      <c r="F20" s="45"/>
      <c r="G20" s="14">
        <f t="shared" si="5"/>
        <v>0</v>
      </c>
    </row>
    <row r="21" spans="2:24" ht="16.5" hidden="1" customHeight="1" x14ac:dyDescent="0.3">
      <c r="B21" s="12"/>
      <c r="C21" s="13"/>
      <c r="D21" s="13"/>
      <c r="E21" s="13"/>
      <c r="F21" s="13"/>
      <c r="G21" s="14">
        <f t="shared" si="5"/>
        <v>0</v>
      </c>
    </row>
    <row r="22" spans="2:24" ht="16.5" customHeight="1" x14ac:dyDescent="0.3">
      <c r="B22" s="46" t="s">
        <v>53</v>
      </c>
      <c r="C22" s="13"/>
      <c r="D22" s="45"/>
      <c r="E22" s="45"/>
      <c r="F22" s="45"/>
      <c r="G22" s="14"/>
    </row>
    <row r="23" spans="2:24" ht="16.5" customHeight="1" x14ac:dyDescent="0.3">
      <c r="B23" s="12" t="s">
        <v>50</v>
      </c>
      <c r="C23" s="13"/>
      <c r="D23" s="13">
        <v>26680.28</v>
      </c>
      <c r="E23" s="13"/>
      <c r="F23" s="13"/>
      <c r="G23" s="14">
        <f t="shared" si="5"/>
        <v>26680.28</v>
      </c>
      <c r="J23" s="1" t="s">
        <v>45</v>
      </c>
      <c r="N23" s="1" t="s">
        <v>59</v>
      </c>
      <c r="P23" s="1">
        <f>1814+6695</f>
        <v>8509</v>
      </c>
      <c r="Q23" s="1" t="s">
        <v>60</v>
      </c>
      <c r="T23" s="1">
        <v>57000</v>
      </c>
      <c r="U23" s="1" t="s">
        <v>61</v>
      </c>
      <c r="X23" s="1">
        <f>+T23-P23</f>
        <v>48491</v>
      </c>
    </row>
    <row r="24" spans="2:24" ht="16.5" customHeight="1" x14ac:dyDescent="0.3">
      <c r="B24" s="12" t="s">
        <v>11</v>
      </c>
      <c r="C24" s="13">
        <f>+(33430.28-26680.28)/6*2</f>
        <v>2250</v>
      </c>
      <c r="D24" s="13">
        <f>+(33430.28-26680.28)/6*3</f>
        <v>3375</v>
      </c>
      <c r="E24" s="13">
        <f>+(33430.28-26680.28)/6</f>
        <v>1125</v>
      </c>
      <c r="F24" s="13"/>
      <c r="G24" s="14">
        <f t="shared" si="5"/>
        <v>6750</v>
      </c>
      <c r="H24" s="25"/>
      <c r="J24" s="1" t="s">
        <v>45</v>
      </c>
    </row>
    <row r="25" spans="2:24" ht="16.5" customHeight="1" x14ac:dyDescent="0.3">
      <c r="B25" s="12" t="s">
        <v>51</v>
      </c>
      <c r="C25" s="13"/>
      <c r="D25" s="13">
        <v>5758.2</v>
      </c>
      <c r="E25" s="13"/>
      <c r="F25" s="13"/>
      <c r="G25" s="14">
        <f t="shared" si="5"/>
        <v>5758.2</v>
      </c>
      <c r="J25" s="1" t="s">
        <v>45</v>
      </c>
    </row>
    <row r="26" spans="2:24" x14ac:dyDescent="0.3">
      <c r="B26" s="12" t="s">
        <v>49</v>
      </c>
      <c r="C26" s="13">
        <f>+(7197-5758.2)/3</f>
        <v>479.60000000000008</v>
      </c>
      <c r="D26" s="13">
        <f t="shared" ref="D26:E26" si="9">+(7197-5758.2)/3</f>
        <v>479.60000000000008</v>
      </c>
      <c r="E26" s="13">
        <f t="shared" si="9"/>
        <v>479.60000000000008</v>
      </c>
      <c r="F26" s="13"/>
      <c r="G26" s="14">
        <f t="shared" si="5"/>
        <v>1438.8000000000002</v>
      </c>
      <c r="H26" s="25"/>
      <c r="J26" s="1" t="s">
        <v>45</v>
      </c>
    </row>
    <row r="27" spans="2:24" x14ac:dyDescent="0.3">
      <c r="B27" s="47"/>
      <c r="C27" s="48"/>
      <c r="D27" s="49"/>
      <c r="E27" s="48"/>
      <c r="F27" s="48"/>
      <c r="G27" s="50"/>
    </row>
    <row r="28" spans="2:24" ht="16.5" customHeight="1" x14ac:dyDescent="0.3">
      <c r="B28" s="15" t="s">
        <v>12</v>
      </c>
      <c r="C28" s="16">
        <f>+C14+C4</f>
        <v>268510.52</v>
      </c>
      <c r="D28" s="16">
        <f>+D14+D4</f>
        <v>288662.66666666669</v>
      </c>
      <c r="E28" s="16">
        <f>+E14+E4</f>
        <v>210572.18666666665</v>
      </c>
      <c r="F28" s="16">
        <f>+F14+F4</f>
        <v>208967.58666666667</v>
      </c>
      <c r="G28" s="17">
        <f>SUM(C28:F28)</f>
        <v>976712.96000000008</v>
      </c>
    </row>
    <row r="29" spans="2:24" ht="16.5" customHeight="1" x14ac:dyDescent="0.3">
      <c r="B29" s="51"/>
      <c r="C29" s="52"/>
      <c r="D29" s="52"/>
      <c r="E29" s="52"/>
      <c r="F29" s="52"/>
      <c r="G29" s="53"/>
    </row>
    <row r="30" spans="2:24" ht="16.5" customHeight="1" x14ac:dyDescent="0.3">
      <c r="B30" s="42" t="s">
        <v>13</v>
      </c>
      <c r="C30" s="43">
        <f>+C31+C32+C33</f>
        <v>43743.459999912506</v>
      </c>
      <c r="D30" s="43">
        <f>+D31+D32+D33</f>
        <v>43743.459999912506</v>
      </c>
      <c r="E30" s="43">
        <f>+E31+E32+E33</f>
        <v>43743.459999912506</v>
      </c>
      <c r="F30" s="43">
        <f>+F31+F32+F33</f>
        <v>44392.3599999125</v>
      </c>
      <c r="G30" s="44">
        <f>SUM(C30:F30)</f>
        <v>175622.73999965002</v>
      </c>
    </row>
    <row r="31" spans="2:24" ht="16.5" customHeight="1" x14ac:dyDescent="0.3">
      <c r="B31" s="12" t="s">
        <v>14</v>
      </c>
      <c r="C31" s="41">
        <f>+C11*0.25</f>
        <v>187.5</v>
      </c>
      <c r="D31" s="41">
        <f>+D11*0.25</f>
        <v>187.5</v>
      </c>
      <c r="E31" s="41">
        <f>+E11*0.25</f>
        <v>187.5</v>
      </c>
      <c r="F31" s="41">
        <f>+F11*0.25</f>
        <v>187.5</v>
      </c>
      <c r="G31" s="14">
        <f t="shared" ref="G31:G32" si="10">SUM(C31:F31)</f>
        <v>750</v>
      </c>
    </row>
    <row r="32" spans="2:24" ht="16.5" customHeight="1" x14ac:dyDescent="0.3">
      <c r="B32" s="12" t="s">
        <v>15</v>
      </c>
      <c r="C32" s="13">
        <f>908.56/4</f>
        <v>227.14</v>
      </c>
      <c r="D32" s="13">
        <f t="shared" ref="D32:F32" si="11">908.56/4</f>
        <v>227.14</v>
      </c>
      <c r="E32" s="13">
        <f t="shared" si="11"/>
        <v>227.14</v>
      </c>
      <c r="F32" s="13">
        <f t="shared" si="11"/>
        <v>227.14</v>
      </c>
      <c r="G32" s="14">
        <f t="shared" si="10"/>
        <v>908.56</v>
      </c>
      <c r="J32" s="1" t="s">
        <v>56</v>
      </c>
    </row>
    <row r="33" spans="2:17" ht="16.5" customHeight="1" x14ac:dyDescent="0.3">
      <c r="B33" s="54" t="s">
        <v>16</v>
      </c>
      <c r="C33" s="55">
        <f>+C34+C44</f>
        <v>43328.819999912506</v>
      </c>
      <c r="D33" s="55">
        <f t="shared" ref="D33:F33" si="12">+D34+D44</f>
        <v>43328.819999912506</v>
      </c>
      <c r="E33" s="55">
        <f t="shared" si="12"/>
        <v>43328.819999912506</v>
      </c>
      <c r="F33" s="55">
        <f t="shared" si="12"/>
        <v>43977.7199999125</v>
      </c>
      <c r="G33" s="14">
        <f>SUM(C33:F33)</f>
        <v>173964.17999965002</v>
      </c>
    </row>
    <row r="34" spans="2:17" ht="16.5" customHeight="1" x14ac:dyDescent="0.3">
      <c r="B34" s="56" t="s">
        <v>57</v>
      </c>
      <c r="C34" s="57">
        <f>SUM(C35:C43)</f>
        <v>16475.499999912499</v>
      </c>
      <c r="D34" s="57">
        <f t="shared" ref="D34:F34" si="13">SUM(D35:D43)</f>
        <v>16475.499999912499</v>
      </c>
      <c r="E34" s="57">
        <f t="shared" si="13"/>
        <v>16475.499999912499</v>
      </c>
      <c r="F34" s="57">
        <f t="shared" si="13"/>
        <v>16475.499999912499</v>
      </c>
      <c r="G34" s="14">
        <f t="shared" ref="G34:G43" si="14">SUM(C34:F34)</f>
        <v>65901.999999649997</v>
      </c>
    </row>
    <row r="35" spans="2:17" ht="16.5" customHeight="1" x14ac:dyDescent="0.3">
      <c r="B35" s="58" t="s">
        <v>17</v>
      </c>
      <c r="C35" s="59">
        <f>62057.19999965/4</f>
        <v>15514.2999999125</v>
      </c>
      <c r="D35" s="59">
        <f t="shared" ref="D35:F35" si="15">62057.19999965/4</f>
        <v>15514.2999999125</v>
      </c>
      <c r="E35" s="59">
        <f t="shared" si="15"/>
        <v>15514.2999999125</v>
      </c>
      <c r="F35" s="59">
        <f t="shared" si="15"/>
        <v>15514.2999999125</v>
      </c>
      <c r="G35" s="14">
        <f t="shared" si="14"/>
        <v>62057.199999650002</v>
      </c>
      <c r="I35" s="25"/>
    </row>
    <row r="36" spans="2:17" ht="16.5" hidden="1" customHeight="1" x14ac:dyDescent="0.3">
      <c r="B36" s="58" t="s">
        <v>18</v>
      </c>
      <c r="C36" s="59"/>
      <c r="D36" s="59"/>
      <c r="E36" s="59"/>
      <c r="F36" s="59"/>
      <c r="G36" s="14">
        <f t="shared" si="14"/>
        <v>0</v>
      </c>
    </row>
    <row r="37" spans="2:17" ht="16.5" customHeight="1" x14ac:dyDescent="0.3">
      <c r="B37" s="58" t="s">
        <v>19</v>
      </c>
      <c r="C37" s="59">
        <v>80</v>
      </c>
      <c r="D37" s="59">
        <v>80</v>
      </c>
      <c r="E37" s="59">
        <v>80</v>
      </c>
      <c r="F37" s="59">
        <v>80</v>
      </c>
      <c r="G37" s="14">
        <f t="shared" si="14"/>
        <v>320</v>
      </c>
    </row>
    <row r="38" spans="2:17" ht="16.5" customHeight="1" x14ac:dyDescent="0.3">
      <c r="B38" s="58" t="s">
        <v>20</v>
      </c>
      <c r="C38" s="59">
        <v>172.5</v>
      </c>
      <c r="D38" s="59">
        <v>172.5</v>
      </c>
      <c r="E38" s="59">
        <v>172.5</v>
      </c>
      <c r="F38" s="59">
        <v>172.5</v>
      </c>
      <c r="G38" s="14">
        <f t="shared" si="14"/>
        <v>690</v>
      </c>
    </row>
    <row r="39" spans="2:17" ht="16.5" customHeight="1" x14ac:dyDescent="0.3">
      <c r="B39" s="58" t="s">
        <v>21</v>
      </c>
      <c r="C39" s="59">
        <v>400</v>
      </c>
      <c r="D39" s="59">
        <v>400</v>
      </c>
      <c r="E39" s="59">
        <v>400</v>
      </c>
      <c r="F39" s="59">
        <v>400</v>
      </c>
      <c r="G39" s="14">
        <f t="shared" si="14"/>
        <v>1600</v>
      </c>
    </row>
    <row r="40" spans="2:17" x14ac:dyDescent="0.3">
      <c r="B40" s="58" t="s">
        <v>22</v>
      </c>
      <c r="C40" s="59">
        <f>634.8/4</f>
        <v>158.69999999999999</v>
      </c>
      <c r="D40" s="59">
        <f t="shared" ref="D40:F40" si="16">634.8/4</f>
        <v>158.69999999999999</v>
      </c>
      <c r="E40" s="59">
        <f t="shared" si="16"/>
        <v>158.69999999999999</v>
      </c>
      <c r="F40" s="59">
        <f t="shared" si="16"/>
        <v>158.69999999999999</v>
      </c>
      <c r="G40" s="14">
        <f t="shared" si="14"/>
        <v>634.79999999999995</v>
      </c>
    </row>
    <row r="41" spans="2:17" hidden="1" x14ac:dyDescent="0.3">
      <c r="B41" s="58" t="s">
        <v>22</v>
      </c>
      <c r="C41" s="59"/>
      <c r="D41" s="59"/>
      <c r="E41" s="59"/>
      <c r="F41" s="59"/>
      <c r="G41" s="14">
        <f t="shared" si="14"/>
        <v>0</v>
      </c>
    </row>
    <row r="42" spans="2:17" hidden="1" x14ac:dyDescent="0.3">
      <c r="B42" s="58" t="s">
        <v>23</v>
      </c>
      <c r="C42" s="59"/>
      <c r="D42" s="59"/>
      <c r="E42" s="59"/>
      <c r="F42" s="59"/>
      <c r="G42" s="14">
        <f t="shared" si="14"/>
        <v>0</v>
      </c>
    </row>
    <row r="43" spans="2:17" ht="16.5" customHeight="1" x14ac:dyDescent="0.3">
      <c r="B43" s="58" t="s">
        <v>24</v>
      </c>
      <c r="C43" s="59">
        <v>150</v>
      </c>
      <c r="D43" s="59">
        <v>150</v>
      </c>
      <c r="E43" s="59">
        <v>150</v>
      </c>
      <c r="F43" s="59">
        <v>150</v>
      </c>
      <c r="G43" s="14">
        <f t="shared" si="14"/>
        <v>600</v>
      </c>
    </row>
    <row r="44" spans="2:17" ht="16.5" customHeight="1" x14ac:dyDescent="0.3">
      <c r="B44" s="56" t="s">
        <v>76</v>
      </c>
      <c r="C44" s="57">
        <f>+C61</f>
        <v>26853.320000000003</v>
      </c>
      <c r="D44" s="57">
        <f t="shared" ref="D44:F44" si="17">+D61</f>
        <v>26853.320000000003</v>
      </c>
      <c r="E44" s="57">
        <f t="shared" si="17"/>
        <v>26853.320000000003</v>
      </c>
      <c r="F44" s="57">
        <f t="shared" si="17"/>
        <v>27502.22</v>
      </c>
      <c r="G44" s="60">
        <f>SUM(C44:F44)</f>
        <v>108062.18000000001</v>
      </c>
      <c r="K44" s="1" t="s">
        <v>55</v>
      </c>
    </row>
    <row r="45" spans="2:17" ht="16.5" customHeight="1" x14ac:dyDescent="0.3">
      <c r="B45" s="42" t="s">
        <v>25</v>
      </c>
      <c r="C45" s="43">
        <f>SUM(C46:C56)</f>
        <v>199992.92666666667</v>
      </c>
      <c r="D45" s="43">
        <f>SUM(D46:D56)</f>
        <v>210463.64</v>
      </c>
      <c r="E45" s="43">
        <f>SUM(E46:E56)</f>
        <v>198120.71333333332</v>
      </c>
      <c r="F45" s="43">
        <f>SUM(F46:F56)</f>
        <v>190150</v>
      </c>
      <c r="G45" s="44">
        <f>SUM(C45:F45)</f>
        <v>798727.28</v>
      </c>
    </row>
    <row r="46" spans="2:17" ht="16.5" customHeight="1" x14ac:dyDescent="0.3">
      <c r="B46" s="12" t="s">
        <v>46</v>
      </c>
      <c r="C46" s="13">
        <v>179010</v>
      </c>
      <c r="D46" s="13">
        <v>179010</v>
      </c>
      <c r="E46" s="13">
        <v>179010</v>
      </c>
      <c r="F46" s="13">
        <v>179010</v>
      </c>
      <c r="G46" s="14">
        <f>SUM(C46:F46)</f>
        <v>716040</v>
      </c>
      <c r="J46" s="1">
        <v>9686.130000000001</v>
      </c>
      <c r="K46" s="1" t="s">
        <v>65</v>
      </c>
      <c r="O46" s="1">
        <f>+J46*12/9</f>
        <v>12914.840000000002</v>
      </c>
      <c r="P46" s="1" t="s">
        <v>66</v>
      </c>
      <c r="Q46" s="25">
        <f>+G46-O46</f>
        <v>703125.16</v>
      </c>
    </row>
    <row r="47" spans="2:17" ht="16.5" customHeight="1" x14ac:dyDescent="0.3">
      <c r="B47" s="61" t="s">
        <v>47</v>
      </c>
      <c r="C47" s="13"/>
      <c r="D47" s="13"/>
      <c r="E47" s="13"/>
      <c r="F47" s="13"/>
      <c r="G47" s="14">
        <f t="shared" ref="G47" si="18">SUM(C47:F47)</f>
        <v>0</v>
      </c>
      <c r="K47" s="1" t="s">
        <v>45</v>
      </c>
    </row>
    <row r="48" spans="2:17" ht="16.5" customHeight="1" x14ac:dyDescent="0.3">
      <c r="B48" s="12" t="s">
        <v>41</v>
      </c>
      <c r="C48" s="13">
        <f>34560/4</f>
        <v>8640</v>
      </c>
      <c r="D48" s="13">
        <f t="shared" ref="D48:F48" si="19">34560/4</f>
        <v>8640</v>
      </c>
      <c r="E48" s="13">
        <f t="shared" si="19"/>
        <v>8640</v>
      </c>
      <c r="F48" s="13">
        <f t="shared" si="19"/>
        <v>8640</v>
      </c>
      <c r="G48" s="14">
        <f t="shared" ref="G48:G55" si="20">SUM(C48:F48)</f>
        <v>34560</v>
      </c>
      <c r="K48" s="1" t="s">
        <v>45</v>
      </c>
    </row>
    <row r="49" spans="2:15" ht="16.5" customHeight="1" x14ac:dyDescent="0.3">
      <c r="B49" s="12" t="s">
        <v>48</v>
      </c>
      <c r="C49" s="13"/>
      <c r="D49" s="13">
        <v>2500</v>
      </c>
      <c r="E49" s="13">
        <v>2500</v>
      </c>
      <c r="F49" s="13">
        <v>2500</v>
      </c>
      <c r="G49" s="14">
        <f t="shared" si="20"/>
        <v>7500</v>
      </c>
      <c r="K49" s="1" t="s">
        <v>44</v>
      </c>
    </row>
    <row r="50" spans="2:15" ht="16.5" hidden="1" customHeight="1" x14ac:dyDescent="0.3">
      <c r="B50" s="12"/>
      <c r="C50" s="13"/>
      <c r="D50" s="13"/>
      <c r="E50" s="13"/>
      <c r="F50" s="13"/>
      <c r="G50" s="14">
        <f t="shared" si="20"/>
        <v>0</v>
      </c>
    </row>
    <row r="51" spans="2:15" ht="16.5" hidden="1" customHeight="1" x14ac:dyDescent="0.3">
      <c r="B51" s="12"/>
      <c r="C51" s="13"/>
      <c r="D51" s="13"/>
      <c r="E51" s="13"/>
      <c r="F51" s="13"/>
      <c r="G51" s="14">
        <f t="shared" si="20"/>
        <v>0</v>
      </c>
    </row>
    <row r="52" spans="2:15" ht="16.5" customHeight="1" x14ac:dyDescent="0.3">
      <c r="B52" s="46" t="s">
        <v>53</v>
      </c>
      <c r="C52" s="13"/>
      <c r="D52" s="13"/>
      <c r="E52" s="13"/>
      <c r="F52" s="13"/>
      <c r="G52" s="14"/>
    </row>
    <row r="53" spans="2:15" ht="16.5" customHeight="1" x14ac:dyDescent="0.3">
      <c r="B53" s="12" t="s">
        <v>52</v>
      </c>
      <c r="C53" s="13">
        <f>33430.28/6*2</f>
        <v>11143.426666666666</v>
      </c>
      <c r="D53" s="13">
        <f>33430.28/6*3</f>
        <v>16715.14</v>
      </c>
      <c r="E53" s="13">
        <f>33430.28/6</f>
        <v>5571.7133333333331</v>
      </c>
      <c r="F53" s="13"/>
      <c r="G53" s="14">
        <f t="shared" si="20"/>
        <v>33430.28</v>
      </c>
      <c r="K53" s="1" t="s">
        <v>45</v>
      </c>
    </row>
    <row r="54" spans="2:15" ht="16.5" customHeight="1" x14ac:dyDescent="0.3">
      <c r="B54" s="12" t="s">
        <v>51</v>
      </c>
      <c r="C54" s="13">
        <v>1199.5</v>
      </c>
      <c r="D54" s="13">
        <f>+C54*3</f>
        <v>3598.5</v>
      </c>
      <c r="E54" s="13">
        <f>+C54*2</f>
        <v>2399</v>
      </c>
      <c r="F54" s="13"/>
      <c r="G54" s="14">
        <f t="shared" si="20"/>
        <v>7197</v>
      </c>
      <c r="K54" s="1" t="s">
        <v>45</v>
      </c>
    </row>
    <row r="55" spans="2:15" ht="16.5" hidden="1" customHeight="1" x14ac:dyDescent="0.3">
      <c r="B55" s="12"/>
      <c r="C55" s="13"/>
      <c r="D55" s="13"/>
      <c r="E55" s="13"/>
      <c r="F55" s="13"/>
      <c r="G55" s="14">
        <f t="shared" si="20"/>
        <v>0</v>
      </c>
    </row>
    <row r="56" spans="2:15" x14ac:dyDescent="0.3">
      <c r="B56" s="12"/>
      <c r="C56" s="13"/>
      <c r="D56" s="13"/>
      <c r="E56" s="13"/>
      <c r="F56" s="13"/>
      <c r="G56" s="14"/>
    </row>
    <row r="57" spans="2:15" ht="13.8" x14ac:dyDescent="0.3">
      <c r="B57" s="15" t="s">
        <v>26</v>
      </c>
      <c r="C57" s="16">
        <f>+C45+C30</f>
        <v>243736.38666657917</v>
      </c>
      <c r="D57" s="16">
        <f>+D45+D30</f>
        <v>254207.09999991252</v>
      </c>
      <c r="E57" s="16">
        <f>+E45+E30</f>
        <v>241864.17333324582</v>
      </c>
      <c r="F57" s="16">
        <f>+F45+F30</f>
        <v>234542.3599999125</v>
      </c>
      <c r="G57" s="17">
        <f>SUM(C57:F57)</f>
        <v>974350.01999965007</v>
      </c>
    </row>
    <row r="58" spans="2:15" ht="24" customHeight="1" x14ac:dyDescent="0.3">
      <c r="B58" s="18" t="s">
        <v>27</v>
      </c>
      <c r="C58" s="19">
        <f>+C28-C57</f>
        <v>24774.133333420847</v>
      </c>
      <c r="D58" s="19">
        <f>+D28-D57</f>
        <v>34455.566666754166</v>
      </c>
      <c r="E58" s="19">
        <f>+E28-E57</f>
        <v>-31291.986666579178</v>
      </c>
      <c r="F58" s="19">
        <f>+F28-F57</f>
        <v>-25574.77333324583</v>
      </c>
      <c r="G58" s="20">
        <f>+G28-G57</f>
        <v>2362.940000350005</v>
      </c>
    </row>
    <row r="59" spans="2:15" ht="24" customHeight="1" x14ac:dyDescent="0.3">
      <c r="B59" s="1" t="s">
        <v>54</v>
      </c>
      <c r="C59" s="36"/>
      <c r="D59" s="36"/>
      <c r="E59" s="36"/>
      <c r="F59" s="36"/>
      <c r="G59" s="36"/>
    </row>
    <row r="60" spans="2:15" x14ac:dyDescent="0.3">
      <c r="B60" s="21"/>
      <c r="C60" s="21"/>
      <c r="D60" s="21"/>
      <c r="E60" s="21"/>
      <c r="F60" s="21"/>
      <c r="G60" s="21"/>
    </row>
    <row r="61" spans="2:15" x14ac:dyDescent="0.3">
      <c r="B61" s="22" t="s">
        <v>77</v>
      </c>
      <c r="C61" s="23">
        <f t="shared" ref="C61:E61" si="21">+C62+C63+C65+C66+C64</f>
        <v>26853.320000000003</v>
      </c>
      <c r="D61" s="23">
        <f t="shared" si="21"/>
        <v>26853.320000000003</v>
      </c>
      <c r="E61" s="23">
        <f t="shared" si="21"/>
        <v>26853.320000000003</v>
      </c>
      <c r="F61" s="23">
        <f>+F62+F63+F65+F66+F64</f>
        <v>27502.22</v>
      </c>
      <c r="G61" s="24">
        <f>SUM(C61:F61)</f>
        <v>108062.18000000001</v>
      </c>
    </row>
    <row r="62" spans="2:15" x14ac:dyDescent="0.3">
      <c r="B62" s="30" t="s">
        <v>28</v>
      </c>
      <c r="C62" s="31">
        <f>+(86000-62057.2)/4+48491/4</f>
        <v>18108.45</v>
      </c>
      <c r="D62" s="31">
        <f t="shared" ref="D62:F62" si="22">+(86000-62057.2)/4+48491/4</f>
        <v>18108.45</v>
      </c>
      <c r="E62" s="31">
        <f t="shared" si="22"/>
        <v>18108.45</v>
      </c>
      <c r="F62" s="31">
        <f t="shared" si="22"/>
        <v>18108.45</v>
      </c>
      <c r="G62" s="32">
        <f t="shared" ref="G62:G66" si="23">SUM(C62:F62)</f>
        <v>72433.8</v>
      </c>
      <c r="J62" s="1" t="s">
        <v>62</v>
      </c>
    </row>
    <row r="63" spans="2:15" ht="12.9" customHeight="1" x14ac:dyDescent="0.3">
      <c r="B63" s="30" t="s">
        <v>84</v>
      </c>
      <c r="C63" s="31">
        <f>1499.39*3</f>
        <v>4498.17</v>
      </c>
      <c r="D63" s="31">
        <f t="shared" ref="D63:F63" si="24">1499.39*3</f>
        <v>4498.17</v>
      </c>
      <c r="E63" s="31">
        <f t="shared" si="24"/>
        <v>4498.17</v>
      </c>
      <c r="F63" s="31">
        <f t="shared" si="24"/>
        <v>4498.17</v>
      </c>
      <c r="G63" s="32">
        <f t="shared" si="23"/>
        <v>17992.68</v>
      </c>
      <c r="J63" s="1" t="s">
        <v>74</v>
      </c>
      <c r="N63" s="1">
        <f>784.27+715.12</f>
        <v>1499.3899999999999</v>
      </c>
      <c r="O63" s="1">
        <f>+N63*12</f>
        <v>17992.68</v>
      </c>
    </row>
    <row r="64" spans="2:15" x14ac:dyDescent="0.3">
      <c r="B64" s="30" t="s">
        <v>78</v>
      </c>
      <c r="C64" s="31">
        <f>618*1.05*3</f>
        <v>1946.6999999999998</v>
      </c>
      <c r="D64" s="31">
        <f t="shared" ref="D64:E64" si="25">618*1.05*3</f>
        <v>1946.6999999999998</v>
      </c>
      <c r="E64" s="31">
        <f t="shared" si="25"/>
        <v>1946.6999999999998</v>
      </c>
      <c r="F64" s="31">
        <f>618*1.05*3+618*1.05</f>
        <v>2595.6</v>
      </c>
      <c r="G64" s="32">
        <f t="shared" si="23"/>
        <v>8435.6999999999989</v>
      </c>
      <c r="J64" s="1" t="s">
        <v>69</v>
      </c>
    </row>
    <row r="65" spans="2:10" x14ac:dyDescent="0.3">
      <c r="B65" s="30" t="s">
        <v>30</v>
      </c>
      <c r="C65" s="31">
        <v>500</v>
      </c>
      <c r="D65" s="31">
        <v>500</v>
      </c>
      <c r="E65" s="31">
        <v>500</v>
      </c>
      <c r="F65" s="31">
        <v>500</v>
      </c>
      <c r="G65" s="32">
        <f t="shared" si="23"/>
        <v>2000</v>
      </c>
      <c r="J65" s="1" t="s">
        <v>68</v>
      </c>
    </row>
    <row r="66" spans="2:10" x14ac:dyDescent="0.3">
      <c r="B66" s="33" t="s">
        <v>31</v>
      </c>
      <c r="C66" s="34">
        <f>3600/4+900</f>
        <v>1800</v>
      </c>
      <c r="D66" s="34">
        <f t="shared" ref="D66:F66" si="26">3600/4+900</f>
        <v>1800</v>
      </c>
      <c r="E66" s="34">
        <f t="shared" si="26"/>
        <v>1800</v>
      </c>
      <c r="F66" s="34">
        <f t="shared" si="26"/>
        <v>1800</v>
      </c>
      <c r="G66" s="35">
        <f t="shared" si="23"/>
        <v>7200</v>
      </c>
      <c r="J66" s="1" t="s">
        <v>67</v>
      </c>
    </row>
    <row r="69" spans="2:10" x14ac:dyDescent="0.3">
      <c r="C69" s="25"/>
      <c r="D69" s="25"/>
      <c r="E69" s="25"/>
      <c r="F69" s="25"/>
      <c r="G69" s="25"/>
    </row>
    <row r="72" spans="2:10" x14ac:dyDescent="0.3">
      <c r="G72" s="25"/>
    </row>
    <row r="74" spans="2:10" x14ac:dyDescent="0.3">
      <c r="G74" s="25"/>
    </row>
    <row r="75" spans="2:10" x14ac:dyDescent="0.3">
      <c r="C75" s="26"/>
      <c r="D75" s="26"/>
      <c r="E75" s="26" t="s">
        <v>82</v>
      </c>
      <c r="F75" s="26"/>
      <c r="G75" s="26"/>
      <c r="H75" s="1">
        <v>2024</v>
      </c>
    </row>
    <row r="76" spans="2:10" x14ac:dyDescent="0.3">
      <c r="B76" s="1" t="s">
        <v>6</v>
      </c>
      <c r="C76" s="37">
        <f t="shared" ref="C76:C81" si="27">+C9</f>
        <v>20020.919999999998</v>
      </c>
      <c r="D76" s="37">
        <f t="shared" ref="D76:F76" si="28">+D9</f>
        <v>20020.919999999998</v>
      </c>
      <c r="E76" s="37">
        <f t="shared" si="28"/>
        <v>20020.919999999998</v>
      </c>
      <c r="F76" s="37">
        <f t="shared" si="28"/>
        <v>20020.919999999998</v>
      </c>
      <c r="G76" s="37">
        <f t="shared" ref="G76:G81" si="29">+F76+E76+D76+C76</f>
        <v>80083.679999999993</v>
      </c>
      <c r="H76" s="37"/>
      <c r="I76" s="37"/>
    </row>
    <row r="77" spans="2:10" x14ac:dyDescent="0.3">
      <c r="B77" s="1" t="s">
        <v>7</v>
      </c>
      <c r="C77" s="37">
        <f t="shared" si="27"/>
        <v>1000</v>
      </c>
      <c r="D77" s="37">
        <f t="shared" ref="D77:F77" si="30">+D10</f>
        <v>1000</v>
      </c>
      <c r="E77" s="37">
        <f t="shared" si="30"/>
        <v>1000</v>
      </c>
      <c r="F77" s="37">
        <f t="shared" si="30"/>
        <v>1000</v>
      </c>
      <c r="G77" s="37">
        <f t="shared" si="29"/>
        <v>4000</v>
      </c>
      <c r="H77" s="37"/>
      <c r="I77" s="37"/>
    </row>
    <row r="78" spans="2:10" x14ac:dyDescent="0.3">
      <c r="B78" s="1" t="s">
        <v>8</v>
      </c>
      <c r="C78" s="37">
        <f t="shared" si="27"/>
        <v>750</v>
      </c>
      <c r="D78" s="37">
        <f t="shared" ref="D78:F78" si="31">+D11</f>
        <v>750</v>
      </c>
      <c r="E78" s="37">
        <f t="shared" si="31"/>
        <v>750</v>
      </c>
      <c r="F78" s="37">
        <f t="shared" si="31"/>
        <v>750</v>
      </c>
      <c r="G78" s="37">
        <f t="shared" si="29"/>
        <v>3000</v>
      </c>
      <c r="H78" s="37"/>
      <c r="I78" s="37"/>
    </row>
    <row r="79" spans="2:10" x14ac:dyDescent="0.3">
      <c r="B79" s="1" t="s">
        <v>43</v>
      </c>
      <c r="C79" s="37">
        <f t="shared" si="27"/>
        <v>30000</v>
      </c>
      <c r="D79" s="37">
        <f t="shared" ref="D79:F79" si="32">+D12</f>
        <v>35902</v>
      </c>
      <c r="E79" s="37">
        <f t="shared" si="32"/>
        <v>0</v>
      </c>
      <c r="F79" s="37">
        <f t="shared" si="32"/>
        <v>0</v>
      </c>
      <c r="G79" s="37">
        <f t="shared" si="29"/>
        <v>65902</v>
      </c>
      <c r="H79" s="37"/>
      <c r="I79" s="37"/>
    </row>
    <row r="80" spans="2:10" x14ac:dyDescent="0.3">
      <c r="B80" s="1" t="s">
        <v>9</v>
      </c>
      <c r="C80" s="37">
        <f t="shared" si="27"/>
        <v>25000</v>
      </c>
      <c r="D80" s="37">
        <f t="shared" ref="D80:F80" si="33">+D13</f>
        <v>0</v>
      </c>
      <c r="E80" s="37">
        <f t="shared" si="33"/>
        <v>0</v>
      </c>
      <c r="F80" s="37">
        <f t="shared" si="33"/>
        <v>0</v>
      </c>
      <c r="G80" s="37">
        <f t="shared" si="29"/>
        <v>25000</v>
      </c>
      <c r="H80" s="37"/>
      <c r="I80" s="37"/>
    </row>
    <row r="81" spans="2:12" x14ac:dyDescent="0.3">
      <c r="B81" s="1" t="s">
        <v>10</v>
      </c>
      <c r="C81" s="37">
        <f t="shared" si="27"/>
        <v>191739.6</v>
      </c>
      <c r="D81" s="37">
        <f t="shared" ref="D81:F81" si="34">+D14</f>
        <v>230989.74666666667</v>
      </c>
      <c r="E81" s="37">
        <f t="shared" si="34"/>
        <v>188801.26666666666</v>
      </c>
      <c r="F81" s="37">
        <f t="shared" si="34"/>
        <v>187196.66666666666</v>
      </c>
      <c r="G81" s="37">
        <f t="shared" si="29"/>
        <v>798727.28</v>
      </c>
      <c r="H81" s="37"/>
      <c r="I81" s="37"/>
    </row>
    <row r="82" spans="2:12" x14ac:dyDescent="0.3">
      <c r="C82" s="38">
        <f>SUM(C76:C81)</f>
        <v>268510.52</v>
      </c>
      <c r="D82" s="38">
        <f t="shared" ref="D82:G82" si="35">SUM(D76:D81)</f>
        <v>288662.66666666669</v>
      </c>
      <c r="E82" s="38">
        <f t="shared" si="35"/>
        <v>210572.18666666665</v>
      </c>
      <c r="F82" s="38">
        <f t="shared" si="35"/>
        <v>208967.58666666667</v>
      </c>
      <c r="G82" s="38">
        <f t="shared" si="35"/>
        <v>976712.96</v>
      </c>
      <c r="H82" s="37"/>
      <c r="I82" s="37"/>
    </row>
    <row r="83" spans="2:12" x14ac:dyDescent="0.3">
      <c r="C83" s="40">
        <f>+C82-C28</f>
        <v>0</v>
      </c>
      <c r="D83" s="40">
        <f t="shared" ref="D83:G83" si="36">+D82-D28</f>
        <v>0</v>
      </c>
      <c r="E83" s="40">
        <f t="shared" si="36"/>
        <v>0</v>
      </c>
      <c r="F83" s="40">
        <f t="shared" si="36"/>
        <v>0</v>
      </c>
      <c r="G83" s="40">
        <f t="shared" si="36"/>
        <v>0</v>
      </c>
      <c r="H83" s="37"/>
      <c r="I83" s="37"/>
    </row>
    <row r="84" spans="2:12" x14ac:dyDescent="0.3">
      <c r="B84" s="1" t="s">
        <v>72</v>
      </c>
      <c r="C84" s="37">
        <f>+C35+$Q46/4+$S18/4+C62+8509/4</f>
        <v>218281.28999991252</v>
      </c>
      <c r="D84" s="37">
        <f t="shared" ref="D84:F84" si="37">+D35+$Q46/4+$S18/4+D62+8509/4</f>
        <v>218281.28999991252</v>
      </c>
      <c r="E84" s="37">
        <f t="shared" si="37"/>
        <v>218281.28999991252</v>
      </c>
      <c r="F84" s="37">
        <f t="shared" si="37"/>
        <v>218281.28999991252</v>
      </c>
      <c r="G84" s="37">
        <f>+F84+E84+D84+C84</f>
        <v>873125.15999965009</v>
      </c>
      <c r="H84" s="37">
        <v>678290.04</v>
      </c>
      <c r="I84" s="37"/>
      <c r="J84" s="1">
        <f>703-468</f>
        <v>235</v>
      </c>
      <c r="K84" s="25">
        <f>+G84-H84</f>
        <v>194835.11999965005</v>
      </c>
      <c r="L84" s="1" t="s">
        <v>83</v>
      </c>
    </row>
    <row r="85" spans="2:12" x14ac:dyDescent="0.3">
      <c r="B85" s="1" t="s">
        <v>73</v>
      </c>
      <c r="C85" s="37">
        <f>+C45-$Q46/4-$S18/4-$P23/4</f>
        <v>15334.386666666658</v>
      </c>
      <c r="D85" s="37">
        <f t="shared" ref="D85:F85" si="38">+D45-$Q46/4-$S18/4-$P23/4</f>
        <v>25805.100000000006</v>
      </c>
      <c r="E85" s="37">
        <f t="shared" si="38"/>
        <v>13462.17333333331</v>
      </c>
      <c r="F85" s="37">
        <f t="shared" si="38"/>
        <v>5491.4599999999919</v>
      </c>
      <c r="G85" s="37">
        <f>+F85+E85+D85+C85</f>
        <v>60093.119999999966</v>
      </c>
      <c r="H85" s="37"/>
      <c r="I85" s="37"/>
    </row>
    <row r="86" spans="2:12" x14ac:dyDescent="0.3">
      <c r="B86" s="1" t="s">
        <v>29</v>
      </c>
      <c r="C86" s="37">
        <f>+C63+C40</f>
        <v>4656.87</v>
      </c>
      <c r="D86" s="37">
        <f t="shared" ref="D86:F86" si="39">+D63+D40</f>
        <v>4656.87</v>
      </c>
      <c r="E86" s="37">
        <f t="shared" si="39"/>
        <v>4656.87</v>
      </c>
      <c r="F86" s="37">
        <f t="shared" si="39"/>
        <v>4656.87</v>
      </c>
      <c r="G86" s="37">
        <f>+F86+E86+D86+C86</f>
        <v>18627.48</v>
      </c>
      <c r="H86" s="37">
        <v>32014.73</v>
      </c>
      <c r="I86" s="37"/>
    </row>
    <row r="87" spans="2:12" x14ac:dyDescent="0.3">
      <c r="B87" s="1" t="s">
        <v>79</v>
      </c>
      <c r="C87" s="37">
        <f>+C64</f>
        <v>1946.6999999999998</v>
      </c>
      <c r="D87" s="37">
        <f t="shared" ref="D87:F87" si="40">+D64</f>
        <v>1946.6999999999998</v>
      </c>
      <c r="E87" s="37">
        <f t="shared" si="40"/>
        <v>1946.6999999999998</v>
      </c>
      <c r="F87" s="37">
        <f t="shared" si="40"/>
        <v>2595.6</v>
      </c>
      <c r="G87" s="37">
        <f t="shared" ref="G87:G88" si="41">+F87+E87+D87+C87</f>
        <v>8435.6999999999989</v>
      </c>
      <c r="H87" s="37"/>
      <c r="I87" s="37"/>
    </row>
    <row r="88" spans="2:12" x14ac:dyDescent="0.3">
      <c r="B88" s="1" t="s">
        <v>80</v>
      </c>
      <c r="C88" s="37">
        <f>+C66+C65+C43+C39+C38+C37+C32+C31</f>
        <v>3517.14</v>
      </c>
      <c r="D88" s="37">
        <f t="shared" ref="D88:F88" si="42">+D66+D65+D43+D39+D38+D37+D32+D31</f>
        <v>3517.14</v>
      </c>
      <c r="E88" s="37">
        <f t="shared" si="42"/>
        <v>3517.14</v>
      </c>
      <c r="F88" s="37">
        <f t="shared" si="42"/>
        <v>3517.14</v>
      </c>
      <c r="G88" s="37">
        <f t="shared" si="41"/>
        <v>14068.56</v>
      </c>
      <c r="H88" s="37"/>
      <c r="I88" s="37"/>
    </row>
    <row r="89" spans="2:12" x14ac:dyDescent="0.3">
      <c r="C89" s="38">
        <f>SUM(C84:C88)</f>
        <v>243736.3866665792</v>
      </c>
      <c r="D89" s="38">
        <f t="shared" ref="D89:G89" si="43">SUM(D84:D88)</f>
        <v>254207.09999991255</v>
      </c>
      <c r="E89" s="38">
        <f t="shared" si="43"/>
        <v>241864.17333324585</v>
      </c>
      <c r="F89" s="38">
        <f t="shared" si="43"/>
        <v>234542.35999991253</v>
      </c>
      <c r="G89" s="38">
        <f t="shared" si="43"/>
        <v>974350.01999965007</v>
      </c>
      <c r="H89" s="37"/>
      <c r="I89" s="37"/>
    </row>
    <row r="90" spans="2:12" x14ac:dyDescent="0.3">
      <c r="C90" s="37"/>
      <c r="D90" s="37"/>
      <c r="E90" s="37"/>
      <c r="F90" s="37"/>
      <c r="G90" s="37"/>
      <c r="H90" s="37"/>
      <c r="I90" s="37"/>
    </row>
    <row r="91" spans="2:12" x14ac:dyDescent="0.3">
      <c r="B91" s="39" t="s">
        <v>81</v>
      </c>
      <c r="C91" s="38">
        <f>+C82-C89</f>
        <v>24774.133333420818</v>
      </c>
      <c r="D91" s="38">
        <f t="shared" ref="D91:G91" si="44">+D82-D89</f>
        <v>34455.566666754137</v>
      </c>
      <c r="E91" s="38">
        <f t="shared" si="44"/>
        <v>-31291.986666579207</v>
      </c>
      <c r="F91" s="38">
        <f t="shared" si="44"/>
        <v>-25574.773333245859</v>
      </c>
      <c r="G91" s="38">
        <f t="shared" si="44"/>
        <v>2362.9400003498886</v>
      </c>
      <c r="H91" s="37"/>
      <c r="I91" s="37"/>
    </row>
    <row r="92" spans="2:12" x14ac:dyDescent="0.3">
      <c r="C92" s="40">
        <f t="shared" ref="C92:F92" si="45">+C91-C58</f>
        <v>-2.9103830456733704E-11</v>
      </c>
      <c r="D92" s="40">
        <f t="shared" si="45"/>
        <v>0</v>
      </c>
      <c r="E92" s="40">
        <f t="shared" si="45"/>
        <v>-2.9103830456733704E-11</v>
      </c>
      <c r="F92" s="40">
        <f t="shared" si="45"/>
        <v>-2.9103830456733704E-11</v>
      </c>
      <c r="G92" s="40">
        <f>+G91-G58</f>
        <v>-1.1641532182693481E-10</v>
      </c>
      <c r="H92" s="37"/>
      <c r="I92" s="37"/>
    </row>
    <row r="93" spans="2:12" x14ac:dyDescent="0.3">
      <c r="B93" s="27"/>
      <c r="C93" s="37"/>
      <c r="D93" s="37"/>
      <c r="E93" s="37"/>
      <c r="F93" s="37"/>
      <c r="G93" s="37"/>
      <c r="H93" s="37"/>
      <c r="I93" s="37"/>
    </row>
    <row r="94" spans="2:12" x14ac:dyDescent="0.3">
      <c r="C94" s="37"/>
      <c r="D94" s="37"/>
      <c r="E94" s="37"/>
      <c r="F94" s="37"/>
      <c r="G94" s="37"/>
      <c r="H94" s="37"/>
      <c r="I94" s="37"/>
    </row>
    <row r="95" spans="2:12" x14ac:dyDescent="0.3">
      <c r="B95" s="27"/>
      <c r="C95" s="37"/>
      <c r="D95" s="37"/>
      <c r="E95" s="37"/>
      <c r="F95" s="37"/>
      <c r="G95" s="37"/>
      <c r="H95" s="37"/>
      <c r="I95" s="37"/>
    </row>
    <row r="96" spans="2:12" x14ac:dyDescent="0.3">
      <c r="C96" s="37"/>
      <c r="D96" s="37"/>
      <c r="E96" s="37"/>
      <c r="F96" s="37"/>
      <c r="G96" s="37"/>
      <c r="H96" s="37"/>
      <c r="I96" s="37"/>
    </row>
    <row r="97" spans="2:9" x14ac:dyDescent="0.3">
      <c r="C97" s="37"/>
      <c r="D97" s="37"/>
      <c r="E97" s="37"/>
      <c r="F97" s="37"/>
      <c r="G97" s="37"/>
      <c r="H97" s="37"/>
      <c r="I97" s="37"/>
    </row>
    <row r="102" spans="2:9" ht="13.8" x14ac:dyDescent="0.3">
      <c r="B102" s="28"/>
    </row>
    <row r="103" spans="2:9" ht="13.8" x14ac:dyDescent="0.3">
      <c r="B103" s="28"/>
    </row>
    <row r="104" spans="2:9" ht="13.8" x14ac:dyDescent="0.3">
      <c r="B104" s="28"/>
    </row>
  </sheetData>
  <mergeCells count="1">
    <mergeCell ref="B1:G1"/>
  </mergeCells>
  <pageMargins left="0.7" right="0.7" top="0.75" bottom="0.75" header="0.3" footer="0.3"/>
  <pageSetup paperSize="9" orientation="portrait" r:id="rId1"/>
  <ignoredErrors>
    <ignoredError sqref="D24" formula="1"/>
  </ignoredErrors>
  <drawing r:id="rId2"/>
</worksheet>
</file>

<file path=docMetadata/LabelInfo.xml><?xml version="1.0" encoding="utf-8"?>
<clbl:labelList xmlns:clbl="http://schemas.microsoft.com/office/2020/mipLabelMetadata">
  <clbl:label id="{b101cf10-403e-4675-8f51-194633d39483}" enabled="1" method="Privileged" siteId="{5d89951c-b62b-46bf-b261-910b5240b0e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a enviar</vt:lpstr>
      <vt:lpstr>Trabalhado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Cruz</dc:creator>
  <cp:lastModifiedBy>Gestão - Pais Em Rede</cp:lastModifiedBy>
  <cp:lastPrinted>2025-11-27T11:32:59Z</cp:lastPrinted>
  <dcterms:created xsi:type="dcterms:W3CDTF">2025-10-01T13:40:26Z</dcterms:created>
  <dcterms:modified xsi:type="dcterms:W3CDTF">2025-11-27T11:34:10Z</dcterms:modified>
</cp:coreProperties>
</file>